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744aa196f1fb32c/Documents/"/>
    </mc:Choice>
  </mc:AlternateContent>
  <xr:revisionPtr revIDLastSave="0" documentId="8_{B2291F40-F091-4EB2-A036-E2B7210BC3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Graph" sheetId="2" r:id="rId2"/>
  </sheets>
  <definedNames>
    <definedName name="_xlnm.Print_Area" localSheetId="0">Sheet1!$A$73:$P$103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6" i="1" l="1"/>
  <c r="P156" i="1" s="1"/>
  <c r="R156" i="1"/>
  <c r="N156" i="1"/>
  <c r="L156" i="1"/>
  <c r="J156" i="1"/>
  <c r="H156" i="1"/>
  <c r="F156" i="1"/>
  <c r="O155" i="1"/>
  <c r="P155" i="1" s="1"/>
  <c r="R155" i="1"/>
  <c r="N155" i="1"/>
  <c r="L155" i="1"/>
  <c r="J155" i="1"/>
  <c r="H155" i="1"/>
  <c r="F155" i="1"/>
  <c r="O154" i="1"/>
  <c r="O153" i="1"/>
  <c r="R154" i="1" l="1"/>
  <c r="P154" i="1"/>
  <c r="N154" i="1"/>
  <c r="L154" i="1"/>
  <c r="J154" i="1"/>
  <c r="H154" i="1"/>
  <c r="F154" i="1"/>
  <c r="R153" i="1"/>
  <c r="P153" i="1"/>
  <c r="N153" i="1"/>
  <c r="L153" i="1"/>
  <c r="J153" i="1"/>
  <c r="H153" i="1"/>
  <c r="F153" i="1"/>
  <c r="O152" i="1"/>
  <c r="P152" i="1" s="1"/>
  <c r="R152" i="1"/>
  <c r="N152" i="1"/>
  <c r="L152" i="1"/>
  <c r="J152" i="1"/>
  <c r="H152" i="1"/>
  <c r="F152" i="1"/>
  <c r="O151" i="1"/>
  <c r="P151" i="1" s="1"/>
  <c r="O150" i="1"/>
  <c r="R151" i="1"/>
  <c r="N151" i="1"/>
  <c r="L151" i="1"/>
  <c r="J151" i="1"/>
  <c r="H151" i="1"/>
  <c r="F151" i="1"/>
  <c r="R150" i="1"/>
  <c r="P150" i="1"/>
  <c r="N150" i="1"/>
  <c r="L150" i="1"/>
  <c r="J150" i="1"/>
  <c r="H150" i="1"/>
  <c r="F150" i="1"/>
  <c r="O149" i="1"/>
  <c r="P149" i="1" s="1"/>
  <c r="R149" i="1"/>
  <c r="N149" i="1"/>
  <c r="L149" i="1"/>
  <c r="J149" i="1"/>
  <c r="H149" i="1"/>
  <c r="F149" i="1"/>
  <c r="O148" i="1"/>
  <c r="P148" i="1" s="1"/>
  <c r="R148" i="1"/>
  <c r="N148" i="1"/>
  <c r="L148" i="1"/>
  <c r="J148" i="1"/>
  <c r="H148" i="1"/>
  <c r="F148" i="1"/>
  <c r="O147" i="1"/>
  <c r="R147" i="1"/>
  <c r="P147" i="1"/>
  <c r="N147" i="1"/>
  <c r="L147" i="1"/>
  <c r="J147" i="1"/>
  <c r="H147" i="1"/>
  <c r="F147" i="1"/>
  <c r="O146" i="1"/>
  <c r="O145" i="1"/>
  <c r="R146" i="1"/>
  <c r="P146" i="1"/>
  <c r="N146" i="1"/>
  <c r="L146" i="1"/>
  <c r="J146" i="1"/>
  <c r="H146" i="1"/>
  <c r="F146" i="1"/>
  <c r="R145" i="1"/>
  <c r="P145" i="1"/>
  <c r="N145" i="1"/>
  <c r="L145" i="1"/>
  <c r="J145" i="1"/>
  <c r="H145" i="1"/>
  <c r="F145" i="1"/>
  <c r="O144" i="1"/>
  <c r="R144" i="1"/>
  <c r="N144" i="1"/>
  <c r="L144" i="1"/>
  <c r="J144" i="1"/>
  <c r="H144" i="1"/>
  <c r="F143" i="1"/>
  <c r="O143" i="1"/>
  <c r="R143" i="1"/>
  <c r="P143" i="1"/>
  <c r="N143" i="1"/>
  <c r="L143" i="1"/>
  <c r="J143" i="1"/>
  <c r="H143" i="1"/>
  <c r="O142" i="1"/>
  <c r="R142" i="1"/>
  <c r="P142" i="1"/>
  <c r="N142" i="1"/>
  <c r="L142" i="1"/>
  <c r="J142" i="1"/>
  <c r="H142" i="1"/>
  <c r="F142" i="1"/>
  <c r="F141" i="1"/>
  <c r="O141" i="1"/>
  <c r="R141" i="1"/>
  <c r="P141" i="1"/>
  <c r="N141" i="1"/>
  <c r="L141" i="1"/>
  <c r="J141" i="1"/>
  <c r="H141" i="1"/>
  <c r="O140" i="1"/>
  <c r="P140" i="1"/>
  <c r="R140" i="1"/>
  <c r="N140" i="1"/>
  <c r="L140" i="1"/>
  <c r="J140" i="1"/>
  <c r="H140" i="1"/>
  <c r="F140" i="1"/>
  <c r="O139" i="1"/>
  <c r="P139" i="1"/>
  <c r="R139" i="1"/>
  <c r="N139" i="1"/>
  <c r="L139" i="1"/>
  <c r="J139" i="1"/>
  <c r="H139" i="1"/>
  <c r="F139" i="1"/>
  <c r="O138" i="1"/>
  <c r="P138" i="1"/>
  <c r="R138" i="1"/>
  <c r="N138" i="1"/>
  <c r="L138" i="1"/>
  <c r="J138" i="1"/>
  <c r="H138" i="1"/>
  <c r="F138" i="1"/>
  <c r="O137" i="1"/>
  <c r="P137" i="1"/>
  <c r="R137" i="1"/>
  <c r="N137" i="1"/>
  <c r="L137" i="1"/>
  <c r="J137" i="1"/>
  <c r="H137" i="1"/>
  <c r="F137" i="1"/>
  <c r="O136" i="1"/>
  <c r="P136" i="1"/>
  <c r="O135" i="1"/>
  <c r="P135" i="1"/>
  <c r="R136" i="1"/>
  <c r="N136" i="1"/>
  <c r="L136" i="1"/>
  <c r="J136" i="1"/>
  <c r="H136" i="1"/>
  <c r="F136" i="1"/>
  <c r="R135" i="1"/>
  <c r="N135" i="1"/>
  <c r="L135" i="1"/>
  <c r="J135" i="1"/>
  <c r="H135" i="1"/>
  <c r="F135" i="1"/>
  <c r="F133" i="1"/>
  <c r="O134" i="1"/>
  <c r="P134" i="1"/>
  <c r="R134" i="1"/>
  <c r="N134" i="1"/>
  <c r="L134" i="1"/>
  <c r="J134" i="1"/>
  <c r="H134" i="1"/>
  <c r="F134" i="1"/>
  <c r="O133" i="1"/>
  <c r="P133" i="1"/>
  <c r="R133" i="1"/>
  <c r="N133" i="1"/>
  <c r="L133" i="1"/>
  <c r="J133" i="1"/>
  <c r="H133" i="1"/>
  <c r="O132" i="1"/>
  <c r="P132" i="1"/>
  <c r="R132" i="1"/>
  <c r="N132" i="1"/>
  <c r="L132" i="1"/>
  <c r="J132" i="1"/>
  <c r="H132" i="1"/>
  <c r="F132" i="1"/>
  <c r="O131" i="1"/>
  <c r="P131" i="1"/>
  <c r="J131" i="1"/>
  <c r="R131" i="1"/>
  <c r="N131" i="1"/>
  <c r="L131" i="1"/>
  <c r="H131" i="1"/>
  <c r="F131" i="1"/>
  <c r="O130" i="1"/>
  <c r="O129" i="1"/>
  <c r="P129" i="1"/>
  <c r="P130" i="1"/>
  <c r="R130" i="1"/>
  <c r="N130" i="1"/>
  <c r="L130" i="1"/>
  <c r="J130" i="1"/>
  <c r="H130" i="1"/>
  <c r="F130" i="1"/>
  <c r="R129" i="1"/>
  <c r="N129" i="1"/>
  <c r="L129" i="1"/>
  <c r="J129" i="1"/>
  <c r="H129" i="1"/>
  <c r="F129" i="1"/>
  <c r="O128" i="1"/>
  <c r="P128" i="1"/>
  <c r="R128" i="1"/>
  <c r="N128" i="1"/>
  <c r="L128" i="1"/>
  <c r="J128" i="1"/>
  <c r="H128" i="1"/>
  <c r="F128" i="1"/>
  <c r="O127" i="1"/>
  <c r="P127" i="1"/>
  <c r="R127" i="1"/>
  <c r="N127" i="1"/>
  <c r="L127" i="1"/>
  <c r="J127" i="1"/>
  <c r="H127" i="1"/>
  <c r="F127" i="1"/>
  <c r="O126" i="1"/>
  <c r="P126" i="1"/>
  <c r="R126" i="1"/>
  <c r="N126" i="1"/>
  <c r="L126" i="1"/>
  <c r="J126" i="1"/>
  <c r="H126" i="1"/>
  <c r="F126" i="1"/>
  <c r="O125" i="1"/>
  <c r="R125" i="1"/>
  <c r="P125" i="1"/>
  <c r="N125" i="1"/>
  <c r="L125" i="1"/>
  <c r="J125" i="1"/>
  <c r="H125" i="1"/>
  <c r="F125" i="1"/>
  <c r="O123" i="1"/>
  <c r="O122" i="1"/>
  <c r="P122" i="1"/>
  <c r="R124" i="1"/>
  <c r="O124" i="1"/>
  <c r="P124" i="1"/>
  <c r="N124" i="1"/>
  <c r="L124" i="1"/>
  <c r="J124" i="1"/>
  <c r="H124" i="1"/>
  <c r="F124" i="1"/>
  <c r="R123" i="1"/>
  <c r="P123" i="1"/>
  <c r="N123" i="1"/>
  <c r="L123" i="1"/>
  <c r="J123" i="1"/>
  <c r="H123" i="1"/>
  <c r="F123" i="1"/>
  <c r="R122" i="1"/>
  <c r="N122" i="1"/>
  <c r="L122" i="1"/>
  <c r="J122" i="1"/>
  <c r="H122" i="1"/>
  <c r="F122" i="1"/>
  <c r="O121" i="1"/>
  <c r="P121" i="1"/>
  <c r="R121" i="1"/>
  <c r="N121" i="1"/>
  <c r="L121" i="1"/>
  <c r="J121" i="1"/>
  <c r="H121" i="1"/>
  <c r="F121" i="1"/>
  <c r="O120" i="1"/>
  <c r="P120" i="1"/>
  <c r="R120" i="1"/>
  <c r="N120" i="1"/>
  <c r="L120" i="1"/>
  <c r="J120" i="1"/>
  <c r="H120" i="1"/>
  <c r="F120" i="1"/>
  <c r="O119" i="1"/>
  <c r="P119" i="1"/>
  <c r="R119" i="1"/>
  <c r="N119" i="1"/>
  <c r="L119" i="1"/>
  <c r="J119" i="1"/>
  <c r="H119" i="1"/>
  <c r="F119" i="1"/>
  <c r="O117" i="1"/>
  <c r="P117" i="1"/>
  <c r="O118" i="1"/>
  <c r="P118" i="1"/>
  <c r="R118" i="1"/>
  <c r="N118" i="1"/>
  <c r="L118" i="1"/>
  <c r="J118" i="1"/>
  <c r="H118" i="1"/>
  <c r="F118" i="1"/>
  <c r="F117" i="1"/>
  <c r="R117" i="1"/>
  <c r="N117" i="1"/>
  <c r="L117" i="1"/>
  <c r="J117" i="1"/>
  <c r="H117" i="1"/>
  <c r="O116" i="1"/>
  <c r="P116" i="1"/>
  <c r="R116" i="1"/>
  <c r="N116" i="1"/>
  <c r="L116" i="1"/>
  <c r="J116" i="1"/>
  <c r="H116" i="1"/>
  <c r="F116" i="1"/>
  <c r="O115" i="1"/>
  <c r="P115" i="1"/>
  <c r="R115" i="1"/>
  <c r="N115" i="1"/>
  <c r="L115" i="1"/>
  <c r="J115" i="1"/>
  <c r="H115" i="1"/>
  <c r="F115" i="1"/>
  <c r="P144" i="1"/>
  <c r="F144" i="1"/>
  <c r="O114" i="1"/>
  <c r="P114" i="1"/>
  <c r="R114" i="1"/>
  <c r="N114" i="1"/>
  <c r="L114" i="1"/>
  <c r="J114" i="1"/>
  <c r="H114" i="1"/>
  <c r="F114" i="1"/>
  <c r="O113" i="1"/>
  <c r="P113" i="1"/>
  <c r="R113" i="1"/>
  <c r="N113" i="1"/>
  <c r="L113" i="1"/>
  <c r="J113" i="1"/>
  <c r="H113" i="1"/>
  <c r="F113" i="1"/>
  <c r="P112" i="1"/>
  <c r="R112" i="1"/>
  <c r="N112" i="1"/>
  <c r="L112" i="1"/>
  <c r="J112" i="1"/>
  <c r="H112" i="1"/>
  <c r="F112" i="1"/>
  <c r="O111" i="1"/>
  <c r="P111" i="1"/>
  <c r="R111" i="1"/>
  <c r="N111" i="1"/>
  <c r="L111" i="1"/>
  <c r="J111" i="1"/>
  <c r="H111" i="1"/>
  <c r="F111" i="1"/>
  <c r="O110" i="1"/>
  <c r="P110" i="1"/>
  <c r="R110" i="1"/>
  <c r="N110" i="1"/>
  <c r="L110" i="1"/>
  <c r="J110" i="1"/>
  <c r="H110" i="1"/>
  <c r="F110" i="1"/>
  <c r="O109" i="1"/>
  <c r="P109" i="1"/>
  <c r="R109" i="1"/>
  <c r="N109" i="1"/>
  <c r="L109" i="1"/>
  <c r="J109" i="1"/>
  <c r="H109" i="1"/>
  <c r="F109" i="1"/>
  <c r="O108" i="1"/>
  <c r="R108" i="1"/>
  <c r="P108" i="1"/>
  <c r="N108" i="1"/>
  <c r="L108" i="1"/>
  <c r="J108" i="1"/>
  <c r="H108" i="1"/>
  <c r="F108" i="1"/>
  <c r="O107" i="1"/>
  <c r="P107" i="1"/>
  <c r="R107" i="1"/>
  <c r="N107" i="1"/>
  <c r="L107" i="1"/>
  <c r="J107" i="1"/>
  <c r="H107" i="1"/>
  <c r="F107" i="1"/>
  <c r="O106" i="1"/>
  <c r="P106" i="1"/>
  <c r="R106" i="1"/>
  <c r="N106" i="1"/>
  <c r="L106" i="1"/>
  <c r="J106" i="1"/>
  <c r="H106" i="1"/>
  <c r="F106" i="1"/>
  <c r="O105" i="1"/>
  <c r="R105" i="1"/>
  <c r="N105" i="1"/>
  <c r="L105" i="1"/>
  <c r="J105" i="1"/>
  <c r="H105" i="1"/>
  <c r="P105" i="1"/>
  <c r="F105" i="1"/>
  <c r="O104" i="1"/>
  <c r="P104" i="1"/>
  <c r="R104" i="1"/>
  <c r="N104" i="1"/>
  <c r="L104" i="1"/>
  <c r="J104" i="1"/>
  <c r="H104" i="1"/>
  <c r="F104" i="1"/>
  <c r="O103" i="1"/>
  <c r="P103" i="1"/>
  <c r="R103" i="1"/>
  <c r="N103" i="1"/>
  <c r="L103" i="1"/>
  <c r="J103" i="1"/>
  <c r="H103" i="1"/>
  <c r="F103" i="1"/>
  <c r="O102" i="1"/>
  <c r="P102" i="1"/>
  <c r="R102" i="1"/>
  <c r="N102" i="1"/>
  <c r="L102" i="1"/>
  <c r="J102" i="1"/>
  <c r="H102" i="1"/>
  <c r="F102" i="1"/>
  <c r="O101" i="1"/>
  <c r="P101" i="1"/>
  <c r="R101" i="1"/>
  <c r="N101" i="1"/>
  <c r="L101" i="1"/>
  <c r="J101" i="1"/>
  <c r="H101" i="1"/>
  <c r="F101" i="1"/>
  <c r="O100" i="1"/>
  <c r="P100" i="1"/>
  <c r="R100" i="1"/>
  <c r="N100" i="1"/>
  <c r="L100" i="1"/>
  <c r="J100" i="1"/>
  <c r="H100" i="1"/>
  <c r="F100" i="1"/>
  <c r="O99" i="1"/>
  <c r="R99" i="1"/>
  <c r="P99" i="1"/>
  <c r="N99" i="1"/>
  <c r="L99" i="1"/>
  <c r="J99" i="1"/>
  <c r="H99" i="1"/>
  <c r="F99" i="1"/>
  <c r="O98" i="1"/>
  <c r="N98" i="1"/>
  <c r="R98" i="1"/>
  <c r="P98" i="1"/>
  <c r="L98" i="1"/>
  <c r="J98" i="1"/>
  <c r="H98" i="1"/>
  <c r="F98" i="1"/>
  <c r="F97" i="1"/>
  <c r="O97" i="1"/>
  <c r="P97" i="1"/>
  <c r="R97" i="1"/>
  <c r="N97" i="1"/>
  <c r="L97" i="1"/>
  <c r="J97" i="1"/>
  <c r="H97" i="1"/>
  <c r="R96" i="1"/>
  <c r="R95" i="1"/>
  <c r="R94" i="1"/>
  <c r="R93" i="1"/>
  <c r="R92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1" i="1"/>
  <c r="R50" i="1"/>
  <c r="O96" i="1"/>
  <c r="P96" i="1"/>
  <c r="N96" i="1"/>
  <c r="L96" i="1"/>
  <c r="J96" i="1"/>
  <c r="H96" i="1"/>
  <c r="F96" i="1"/>
  <c r="O95" i="1"/>
  <c r="P95" i="1"/>
  <c r="N95" i="1"/>
  <c r="L95" i="1"/>
  <c r="J95" i="1"/>
  <c r="H95" i="1"/>
  <c r="F95" i="1"/>
  <c r="O94" i="1"/>
  <c r="P94" i="1"/>
  <c r="N94" i="1"/>
  <c r="L94" i="1"/>
  <c r="J94" i="1"/>
  <c r="H94" i="1"/>
  <c r="F94" i="1"/>
  <c r="O93" i="1"/>
  <c r="P93" i="1"/>
  <c r="N93" i="1"/>
  <c r="L93" i="1"/>
  <c r="J93" i="1"/>
  <c r="H93" i="1"/>
  <c r="F93" i="1"/>
  <c r="O92" i="1"/>
  <c r="P92" i="1"/>
  <c r="N92" i="1"/>
  <c r="L92" i="1"/>
  <c r="J92" i="1"/>
  <c r="H92" i="1"/>
  <c r="F92" i="1"/>
  <c r="O91" i="1"/>
  <c r="P91" i="1"/>
  <c r="N91" i="1"/>
  <c r="L91" i="1"/>
  <c r="J91" i="1"/>
  <c r="H91" i="1"/>
  <c r="F91" i="1"/>
  <c r="O90" i="1"/>
  <c r="P90" i="1"/>
  <c r="N90" i="1"/>
  <c r="L90" i="1"/>
  <c r="J90" i="1"/>
  <c r="H90" i="1"/>
  <c r="F90" i="1"/>
  <c r="O89" i="1"/>
  <c r="P89" i="1"/>
  <c r="N89" i="1"/>
  <c r="L89" i="1"/>
  <c r="J89" i="1"/>
  <c r="H89" i="1"/>
  <c r="F89" i="1"/>
  <c r="O88" i="1"/>
  <c r="P88" i="1"/>
  <c r="N88" i="1"/>
  <c r="L88" i="1"/>
  <c r="J88" i="1"/>
  <c r="H88" i="1"/>
  <c r="F88" i="1"/>
  <c r="O87" i="1"/>
  <c r="P87" i="1"/>
  <c r="N87" i="1"/>
  <c r="L87" i="1"/>
  <c r="J87" i="1"/>
  <c r="H87" i="1"/>
  <c r="F87" i="1"/>
  <c r="O86" i="1"/>
  <c r="P86" i="1"/>
  <c r="N86" i="1"/>
  <c r="L86" i="1"/>
  <c r="J86" i="1"/>
  <c r="H86" i="1"/>
  <c r="F86" i="1"/>
  <c r="O85" i="1"/>
  <c r="P85" i="1"/>
  <c r="N85" i="1"/>
  <c r="L85" i="1"/>
  <c r="J85" i="1"/>
  <c r="H85" i="1"/>
  <c r="F85" i="1"/>
  <c r="O84" i="1"/>
  <c r="P84" i="1"/>
  <c r="N84" i="1"/>
  <c r="L84" i="1"/>
  <c r="J84" i="1"/>
  <c r="H84" i="1"/>
  <c r="F84" i="1"/>
  <c r="O83" i="1"/>
  <c r="P83" i="1"/>
  <c r="N83" i="1"/>
  <c r="L83" i="1"/>
  <c r="J83" i="1"/>
  <c r="H83" i="1"/>
  <c r="F83" i="1"/>
  <c r="O82" i="1"/>
  <c r="P82" i="1"/>
  <c r="N82" i="1"/>
  <c r="L82" i="1"/>
  <c r="J82" i="1"/>
  <c r="H82" i="1"/>
  <c r="F82" i="1"/>
  <c r="O81" i="1"/>
  <c r="P81" i="1"/>
  <c r="N81" i="1"/>
  <c r="L81" i="1"/>
  <c r="J81" i="1"/>
  <c r="H81" i="1"/>
  <c r="F81" i="1"/>
  <c r="O80" i="1"/>
  <c r="P80" i="1"/>
  <c r="N80" i="1"/>
  <c r="L80" i="1"/>
  <c r="J80" i="1"/>
  <c r="H80" i="1"/>
  <c r="F80" i="1"/>
  <c r="O79" i="1"/>
  <c r="P79" i="1"/>
  <c r="N79" i="1"/>
  <c r="L79" i="1"/>
  <c r="J79" i="1"/>
  <c r="H79" i="1"/>
  <c r="F79" i="1"/>
  <c r="O78" i="1"/>
  <c r="P78" i="1"/>
  <c r="N78" i="1"/>
  <c r="L78" i="1"/>
  <c r="J78" i="1"/>
  <c r="H78" i="1"/>
  <c r="F78" i="1"/>
  <c r="O77" i="1"/>
  <c r="P77" i="1"/>
  <c r="N77" i="1"/>
  <c r="L77" i="1"/>
  <c r="J77" i="1"/>
  <c r="H77" i="1"/>
  <c r="F77" i="1"/>
  <c r="O76" i="1"/>
  <c r="P76" i="1"/>
  <c r="N76" i="1"/>
  <c r="L76" i="1"/>
  <c r="J76" i="1"/>
  <c r="H76" i="1"/>
  <c r="F76" i="1"/>
  <c r="O74" i="1"/>
  <c r="O75" i="1"/>
  <c r="P75" i="1"/>
  <c r="N75" i="1"/>
  <c r="L75" i="1"/>
  <c r="J75" i="1"/>
  <c r="H75" i="1"/>
  <c r="F75" i="1"/>
  <c r="P74" i="1"/>
  <c r="N74" i="1"/>
  <c r="L74" i="1"/>
  <c r="J74" i="1"/>
  <c r="H74" i="1"/>
  <c r="F74" i="1"/>
  <c r="F73" i="1"/>
  <c r="O73" i="1"/>
  <c r="P73" i="1"/>
  <c r="N73" i="1"/>
  <c r="L73" i="1"/>
  <c r="J73" i="1"/>
  <c r="H73" i="1"/>
  <c r="O72" i="1"/>
  <c r="P72" i="1"/>
  <c r="N72" i="1"/>
  <c r="L72" i="1"/>
  <c r="J72" i="1"/>
  <c r="H72" i="1"/>
  <c r="F72" i="1"/>
  <c r="O71" i="1"/>
  <c r="P71" i="1"/>
  <c r="N71" i="1"/>
  <c r="L71" i="1"/>
  <c r="J71" i="1"/>
  <c r="H71" i="1"/>
  <c r="F71" i="1"/>
  <c r="O70" i="1"/>
  <c r="P70" i="1"/>
  <c r="N70" i="1"/>
  <c r="L70" i="1"/>
  <c r="J70" i="1"/>
  <c r="H70" i="1"/>
  <c r="F70" i="1"/>
  <c r="P69" i="1"/>
  <c r="N69" i="1"/>
  <c r="L69" i="1"/>
  <c r="J69" i="1"/>
  <c r="H69" i="1"/>
  <c r="F69" i="1"/>
  <c r="P68" i="1"/>
  <c r="N68" i="1"/>
  <c r="L68" i="1"/>
  <c r="J68" i="1"/>
  <c r="H68" i="1"/>
  <c r="F68" i="1"/>
  <c r="P67" i="1"/>
  <c r="N67" i="1"/>
  <c r="L67" i="1"/>
  <c r="J67" i="1"/>
  <c r="H67" i="1"/>
  <c r="F67" i="1"/>
  <c r="P66" i="1"/>
  <c r="N66" i="1"/>
  <c r="L66" i="1"/>
  <c r="J66" i="1"/>
  <c r="H66" i="1"/>
  <c r="F66" i="1"/>
  <c r="P65" i="1"/>
  <c r="N65" i="1"/>
  <c r="L65" i="1"/>
  <c r="J65" i="1"/>
  <c r="H65" i="1"/>
  <c r="F65" i="1"/>
  <c r="P64" i="1"/>
  <c r="N64" i="1"/>
  <c r="L64" i="1"/>
  <c r="J64" i="1"/>
  <c r="H64" i="1"/>
  <c r="F64" i="1"/>
  <c r="P63" i="1"/>
  <c r="N63" i="1"/>
  <c r="L63" i="1"/>
  <c r="J63" i="1"/>
  <c r="H63" i="1"/>
  <c r="F63" i="1"/>
  <c r="P62" i="1"/>
  <c r="N62" i="1"/>
  <c r="L62" i="1"/>
  <c r="J62" i="1"/>
  <c r="H62" i="1"/>
  <c r="F62" i="1"/>
  <c r="P61" i="1"/>
  <c r="N61" i="1"/>
  <c r="L61" i="1"/>
  <c r="J61" i="1"/>
  <c r="H61" i="1"/>
  <c r="F61" i="1"/>
  <c r="P60" i="1"/>
  <c r="N60" i="1"/>
  <c r="L60" i="1"/>
  <c r="J60" i="1"/>
  <c r="H60" i="1"/>
  <c r="F60" i="1"/>
  <c r="F59" i="1"/>
  <c r="P59" i="1"/>
  <c r="N59" i="1"/>
  <c r="L59" i="1"/>
  <c r="J59" i="1"/>
  <c r="H59" i="1"/>
  <c r="P58" i="1"/>
  <c r="N58" i="1"/>
  <c r="L58" i="1"/>
  <c r="J58" i="1"/>
  <c r="H58" i="1"/>
  <c r="F58" i="1"/>
  <c r="P57" i="1"/>
  <c r="N57" i="1"/>
  <c r="L57" i="1"/>
  <c r="J57" i="1"/>
  <c r="H57" i="1"/>
  <c r="F57" i="1"/>
  <c r="P56" i="1"/>
  <c r="N56" i="1"/>
  <c r="L56" i="1"/>
  <c r="J56" i="1"/>
  <c r="H56" i="1"/>
  <c r="F56" i="1"/>
  <c r="P55" i="1"/>
  <c r="N55" i="1"/>
  <c r="L55" i="1"/>
  <c r="J55" i="1"/>
  <c r="H55" i="1"/>
  <c r="F55" i="1"/>
  <c r="P54" i="1"/>
  <c r="N54" i="1"/>
  <c r="L54" i="1"/>
  <c r="J54" i="1"/>
  <c r="H54" i="1"/>
  <c r="F54" i="1"/>
  <c r="P53" i="1"/>
  <c r="N53" i="1"/>
  <c r="L53" i="1"/>
  <c r="J53" i="1"/>
  <c r="H53" i="1"/>
  <c r="F53" i="1"/>
  <c r="P52" i="1"/>
  <c r="N52" i="1"/>
  <c r="L52" i="1"/>
  <c r="J52" i="1"/>
  <c r="H52" i="1"/>
  <c r="F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N51" i="1"/>
  <c r="L51" i="1"/>
  <c r="J51" i="1"/>
  <c r="H51" i="1"/>
  <c r="F51" i="1"/>
  <c r="N50" i="1"/>
  <c r="L50" i="1"/>
  <c r="J50" i="1"/>
  <c r="H50" i="1"/>
  <c r="F50" i="1"/>
  <c r="N49" i="1"/>
  <c r="L49" i="1"/>
  <c r="J49" i="1"/>
  <c r="H49" i="1"/>
  <c r="F49" i="1"/>
  <c r="N48" i="1"/>
  <c r="L48" i="1"/>
  <c r="J48" i="1"/>
  <c r="H48" i="1"/>
  <c r="F48" i="1"/>
  <c r="N47" i="1"/>
  <c r="L47" i="1"/>
  <c r="J47" i="1"/>
  <c r="H47" i="1"/>
  <c r="F47" i="1"/>
  <c r="N46" i="1"/>
  <c r="L46" i="1"/>
  <c r="J46" i="1"/>
  <c r="H46" i="1"/>
  <c r="F46" i="1"/>
  <c r="N45" i="1"/>
  <c r="L45" i="1"/>
  <c r="J45" i="1"/>
  <c r="H45" i="1"/>
  <c r="F45" i="1"/>
  <c r="N44" i="1"/>
  <c r="L44" i="1"/>
  <c r="J44" i="1"/>
  <c r="H44" i="1"/>
  <c r="F44" i="1"/>
  <c r="F41" i="1"/>
  <c r="N43" i="1"/>
  <c r="L43" i="1"/>
  <c r="J43" i="1"/>
  <c r="H43" i="1"/>
  <c r="N42" i="1"/>
  <c r="L42" i="1"/>
  <c r="J42" i="1"/>
  <c r="H42" i="1"/>
  <c r="F42" i="1"/>
  <c r="N41" i="1"/>
  <c r="L41" i="1"/>
  <c r="J41" i="1"/>
  <c r="H41" i="1"/>
  <c r="F43" i="1"/>
  <c r="N40" i="1"/>
  <c r="L40" i="1"/>
  <c r="J40" i="1"/>
  <c r="H40" i="1"/>
  <c r="F40" i="1"/>
  <c r="F39" i="1"/>
  <c r="N39" i="1"/>
  <c r="L39" i="1"/>
  <c r="J39" i="1"/>
  <c r="H39" i="1"/>
  <c r="F38" i="1"/>
  <c r="F37" i="1"/>
  <c r="F36" i="1"/>
  <c r="F35" i="1"/>
  <c r="N38" i="1"/>
  <c r="N37" i="1"/>
  <c r="N36" i="1"/>
  <c r="L38" i="1"/>
  <c r="L37" i="1"/>
  <c r="L36" i="1"/>
  <c r="J38" i="1"/>
  <c r="J37" i="1"/>
  <c r="J36" i="1"/>
  <c r="H37" i="1"/>
  <c r="H36" i="1"/>
  <c r="H38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<sst xmlns="http://schemas.openxmlformats.org/spreadsheetml/2006/main" count="191" uniqueCount="174">
  <si>
    <t xml:space="preserve">Ontario Petroleum Institute </t>
  </si>
  <si>
    <t>Mo/Yr</t>
  </si>
  <si>
    <t>Jan,12</t>
  </si>
  <si>
    <t>Feb,12</t>
  </si>
  <si>
    <t>Mar,12</t>
  </si>
  <si>
    <t>Apr,12</t>
  </si>
  <si>
    <t>May,12</t>
  </si>
  <si>
    <t>Jun,12</t>
  </si>
  <si>
    <t>Jul,12</t>
  </si>
  <si>
    <t>Aug,12</t>
  </si>
  <si>
    <t>Sep,12</t>
  </si>
  <si>
    <t>Oct,12</t>
  </si>
  <si>
    <t>Nov,12</t>
  </si>
  <si>
    <t>Dec,12</t>
  </si>
  <si>
    <t>Jan,13</t>
  </si>
  <si>
    <t>Feb,13</t>
  </si>
  <si>
    <t>Mar,13</t>
  </si>
  <si>
    <t>Apr,13</t>
  </si>
  <si>
    <t>May,13</t>
  </si>
  <si>
    <t>Jun,13</t>
  </si>
  <si>
    <t>Jul,13</t>
  </si>
  <si>
    <t>Aug,13</t>
  </si>
  <si>
    <t>Sep,13</t>
  </si>
  <si>
    <t>Oct,13</t>
  </si>
  <si>
    <t>Nov,13</t>
  </si>
  <si>
    <t>Dec,13</t>
  </si>
  <si>
    <t>Jan,14</t>
  </si>
  <si>
    <t>Feb,14</t>
  </si>
  <si>
    <t>Mar,14</t>
  </si>
  <si>
    <t>Apr,14</t>
  </si>
  <si>
    <t>Crude Oil price Comparison</t>
  </si>
  <si>
    <t>Imperial Sarnia versus American Refining, NYMEX prices</t>
  </si>
  <si>
    <t>Imperial Oil</t>
  </si>
  <si>
    <t>($Cdn/Bbl)</t>
  </si>
  <si>
    <t>WTI</t>
  </si>
  <si>
    <t>Cushing</t>
  </si>
  <si>
    <t>($US/Bbl)</t>
  </si>
  <si>
    <t>Exchange</t>
  </si>
  <si>
    <t>Rate</t>
  </si>
  <si>
    <t>Group 1</t>
  </si>
  <si>
    <t>($US/$Cdn)</t>
  </si>
  <si>
    <t>May,14</t>
  </si>
  <si>
    <t>Jun,14</t>
  </si>
  <si>
    <t>Jul,14</t>
  </si>
  <si>
    <t>Aug,14</t>
  </si>
  <si>
    <t>Ont Sweet Ref</t>
  </si>
  <si>
    <t>($Cdn/m3)</t>
  </si>
  <si>
    <t>Ont Sour Ref</t>
  </si>
  <si>
    <t>Amer Refin'y</t>
  </si>
  <si>
    <t>Edmonton Par, WTI, and Exchange Rate from Sproule monthly price forecasts</t>
  </si>
  <si>
    <t>SCO Edm</t>
  </si>
  <si>
    <t>Light Oil</t>
  </si>
  <si>
    <t>Sep,14</t>
  </si>
  <si>
    <t>Oct,14</t>
  </si>
  <si>
    <t>Nov,14</t>
  </si>
  <si>
    <t>Dec,14</t>
  </si>
  <si>
    <t>Hillman (79 Mersea)</t>
  </si>
  <si>
    <t>Rodney (10 Rodney)</t>
  </si>
  <si>
    <t>Jan,15</t>
  </si>
  <si>
    <t>Feb,15</t>
  </si>
  <si>
    <t>Mar,15</t>
  </si>
  <si>
    <t>Apr,15</t>
  </si>
  <si>
    <t>May,15</t>
  </si>
  <si>
    <t>Jun,15</t>
  </si>
  <si>
    <t>Jul,15</t>
  </si>
  <si>
    <t>Aug,15</t>
  </si>
  <si>
    <t>Sep,15</t>
  </si>
  <si>
    <t>Oct,15</t>
  </si>
  <si>
    <t>Nov,15</t>
  </si>
  <si>
    <t>Dec,15</t>
  </si>
  <si>
    <t>Med Oil</t>
  </si>
  <si>
    <t>WCS</t>
  </si>
  <si>
    <t>Feb,16</t>
  </si>
  <si>
    <t>Jan,16</t>
  </si>
  <si>
    <t>Mar,16</t>
  </si>
  <si>
    <t>Apr,16</t>
  </si>
  <si>
    <t>May,16</t>
  </si>
  <si>
    <t>Jun,16</t>
  </si>
  <si>
    <t>Jul,16</t>
  </si>
  <si>
    <t>Aug,16</t>
  </si>
  <si>
    <t>Sep,16</t>
  </si>
  <si>
    <t>Oct,16</t>
  </si>
  <si>
    <t>Nov,16</t>
  </si>
  <si>
    <t>Dec,16</t>
  </si>
  <si>
    <t>Jan,17</t>
  </si>
  <si>
    <t>Feb,17</t>
  </si>
  <si>
    <t>Mar,17</t>
  </si>
  <si>
    <t>Apr,17</t>
  </si>
  <si>
    <t>May,17</t>
  </si>
  <si>
    <t>Jun,17</t>
  </si>
  <si>
    <t>Jul,17</t>
  </si>
  <si>
    <t>Aug,17</t>
  </si>
  <si>
    <t>Sep,17</t>
  </si>
  <si>
    <t>Oct,17</t>
  </si>
  <si>
    <t>Nov,17</t>
  </si>
  <si>
    <t>Dec,17</t>
  </si>
  <si>
    <t>Jan,18</t>
  </si>
  <si>
    <t>Feb,18</t>
  </si>
  <si>
    <t>Mar,18</t>
  </si>
  <si>
    <t>Apr,18</t>
  </si>
  <si>
    <t>May,18</t>
  </si>
  <si>
    <t>Jun,18</t>
  </si>
  <si>
    <t>Jul,18</t>
  </si>
  <si>
    <t>Aug,18</t>
  </si>
  <si>
    <t>Sep,18</t>
  </si>
  <si>
    <t>Oct,18</t>
  </si>
  <si>
    <t>Nov,18</t>
  </si>
  <si>
    <t>Dec,18</t>
  </si>
  <si>
    <t>Jan,19</t>
  </si>
  <si>
    <t>Feb,19</t>
  </si>
  <si>
    <t>Mar,19</t>
  </si>
  <si>
    <t>Apr,19</t>
  </si>
  <si>
    <t>May,19</t>
  </si>
  <si>
    <t>Innerkip condy (K7)</t>
  </si>
  <si>
    <t>Jun,19</t>
  </si>
  <si>
    <t>Jul,19</t>
  </si>
  <si>
    <t>Aug,19</t>
  </si>
  <si>
    <t>Sep,19</t>
  </si>
  <si>
    <t>Oct,19</t>
  </si>
  <si>
    <t>Nov,19</t>
  </si>
  <si>
    <t>Dec,19</t>
  </si>
  <si>
    <t>Jan,20</t>
  </si>
  <si>
    <t>Feb,20</t>
  </si>
  <si>
    <t>Mar,20</t>
  </si>
  <si>
    <t>Apr,20</t>
  </si>
  <si>
    <t>May,20</t>
  </si>
  <si>
    <t>Jun,20</t>
  </si>
  <si>
    <t>Jul,20</t>
  </si>
  <si>
    <t>Aug,20</t>
  </si>
  <si>
    <t>Sep,20</t>
  </si>
  <si>
    <t>Oct,20</t>
  </si>
  <si>
    <t>Nov,20</t>
  </si>
  <si>
    <t>Dec,20</t>
  </si>
  <si>
    <t>Jan,21</t>
  </si>
  <si>
    <t>Feb,21</t>
  </si>
  <si>
    <t>Mar,21</t>
  </si>
  <si>
    <t>Apr,21</t>
  </si>
  <si>
    <t>May,21</t>
  </si>
  <si>
    <t>Jun,21</t>
  </si>
  <si>
    <t>Jul,21</t>
  </si>
  <si>
    <t>Aug,21</t>
  </si>
  <si>
    <t>Sep,21</t>
  </si>
  <si>
    <t>Oct,21</t>
  </si>
  <si>
    <t>Nov,21</t>
  </si>
  <si>
    <t>Dec,21</t>
  </si>
  <si>
    <t>Jan,22</t>
  </si>
  <si>
    <t>Feb,22</t>
  </si>
  <si>
    <t>Mar,22</t>
  </si>
  <si>
    <t>Apr,22</t>
  </si>
  <si>
    <t>May,22</t>
  </si>
  <si>
    <t>Jul,22</t>
  </si>
  <si>
    <t>Jun,22</t>
  </si>
  <si>
    <t>Aug,22</t>
  </si>
  <si>
    <t>Sep,22</t>
  </si>
  <si>
    <t>Oct,22</t>
  </si>
  <si>
    <t>Nov,22</t>
  </si>
  <si>
    <t>Dec,22</t>
  </si>
  <si>
    <t>Jan,23</t>
  </si>
  <si>
    <t>Feb,23</t>
  </si>
  <si>
    <t>Mar,23</t>
  </si>
  <si>
    <t>Apr,23</t>
  </si>
  <si>
    <t>May,23</t>
  </si>
  <si>
    <t>Jun,23</t>
  </si>
  <si>
    <t>Jul,23</t>
  </si>
  <si>
    <t>Aug,23</t>
  </si>
  <si>
    <t>Sep,23</t>
  </si>
  <si>
    <t>Oct,23</t>
  </si>
  <si>
    <t>Nov,23</t>
  </si>
  <si>
    <t>Dec,23</t>
  </si>
  <si>
    <t>Jan,24</t>
  </si>
  <si>
    <t>Feb,24</t>
  </si>
  <si>
    <t>Mar,24</t>
  </si>
  <si>
    <t>Apr,24</t>
  </si>
  <si>
    <t>May,24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</si>
</sst>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1009]d\-mmm\-yy;@"/>
    <numFmt numFmtId="165" formatCode="&quot;$&quot;#,##0.00"/>
    <numFmt numFmtId="166" formatCode="&quot;$&quot;#,##0.000"/>
    <numFmt numFmtId="167" formatCode="&quot;$&quot;#,##0.0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Geneva"/>
      <family val="2"/>
    </font>
    <font>
      <sz val="10"/>
      <name val="Geneva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name val="Arial"/>
      <family val="2"/>
    </font>
    <font>
      <b/>
      <sz val="12"/>
      <name val="Arial"/>
      <family val="2"/>
    </font>
    <font>
      <b/>
      <sz val="7"/>
      <name val="Times"/>
      <family val="1"/>
    </font>
    <font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0"/>
      </top>
      <bottom/>
      <diagonal/>
    </border>
  </borders>
  <cellStyleXfs count="292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43" fontId="4" fillId="0" borderId="0" applyFont="0" applyFill="0" applyBorder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13" applyNumberFormat="0" applyAlignment="0" applyProtection="0"/>
    <xf numFmtId="0" fontId="15" fillId="6" borderId="14" applyNumberFormat="0" applyAlignment="0" applyProtection="0"/>
    <xf numFmtId="0" fontId="16" fillId="6" borderId="13" applyNumberFormat="0" applyAlignment="0" applyProtection="0"/>
    <xf numFmtId="0" fontId="17" fillId="0" borderId="15" applyNumberFormat="0" applyFill="0" applyAlignment="0" applyProtection="0"/>
    <xf numFmtId="0" fontId="18" fillId="7" borderId="16" applyNumberFormat="0" applyAlignment="0" applyProtection="0"/>
    <xf numFmtId="0" fontId="19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43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4" fillId="0" borderId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24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6" fillId="0" borderId="0" applyAlignment="0">
      <alignment vertical="top" wrapText="1"/>
      <protection locked="0"/>
    </xf>
    <xf numFmtId="0" fontId="4" fillId="0" borderId="19" applyNumberFormat="0" applyFont="0" applyBorder="0" applyAlignment="0" applyProtection="0"/>
    <xf numFmtId="0" fontId="26" fillId="0" borderId="0" applyAlignment="0">
      <alignment vertical="top" wrapText="1"/>
      <protection locked="0"/>
    </xf>
    <xf numFmtId="0" fontId="1" fillId="0" borderId="0"/>
    <xf numFmtId="0" fontId="1" fillId="0" borderId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" fillId="8" borderId="17" applyNumberFormat="0" applyFont="0" applyAlignment="0" applyProtection="0"/>
    <xf numFmtId="0" fontId="21" fillId="0" borderId="18" applyNumberFormat="0" applyFill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 applyAlignment="0">
      <alignment vertical="top" wrapText="1"/>
      <protection locked="0"/>
    </xf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0" fillId="0" borderId="1" xfId="1" applyNumberFormat="1" applyFont="1" applyBorder="1"/>
    <xf numFmtId="0" fontId="0" fillId="0" borderId="9" xfId="0" applyBorder="1"/>
    <xf numFmtId="167" fontId="0" fillId="0" borderId="1" xfId="0" applyNumberFormat="1" applyBorder="1"/>
    <xf numFmtId="0" fontId="0" fillId="0" borderId="1" xfId="0" applyBorder="1"/>
    <xf numFmtId="165" fontId="0" fillId="0" borderId="0" xfId="0" applyNumberFormat="1"/>
    <xf numFmtId="2" fontId="27" fillId="0" borderId="0" xfId="2" applyNumberFormat="1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92">
    <cellStyle name="20% - Accent1" xfId="26" builtinId="30" customBuiltin="1"/>
    <cellStyle name="20% - Accent1 10" xfId="272" xr:uid="{00000000-0005-0000-0000-000001000000}"/>
    <cellStyle name="20% - Accent1 2" xfId="69" xr:uid="{00000000-0005-0000-0000-000002000000}"/>
    <cellStyle name="20% - Accent1 2 2" xfId="173" xr:uid="{00000000-0005-0000-0000-000003000000}"/>
    <cellStyle name="20% - Accent1 3" xfId="83" xr:uid="{00000000-0005-0000-0000-000004000000}"/>
    <cellStyle name="20% - Accent1 3 2" xfId="187" xr:uid="{00000000-0005-0000-0000-000005000000}"/>
    <cellStyle name="20% - Accent1 4" xfId="97" xr:uid="{00000000-0005-0000-0000-000006000000}"/>
    <cellStyle name="20% - Accent1 4 2" xfId="201" xr:uid="{00000000-0005-0000-0000-000007000000}"/>
    <cellStyle name="20% - Accent1 5" xfId="111" xr:uid="{00000000-0005-0000-0000-000008000000}"/>
    <cellStyle name="20% - Accent1 5 2" xfId="215" xr:uid="{00000000-0005-0000-0000-000009000000}"/>
    <cellStyle name="20% - Accent1 6" xfId="125" xr:uid="{00000000-0005-0000-0000-00000A000000}"/>
    <cellStyle name="20% - Accent1 6 2" xfId="229" xr:uid="{00000000-0005-0000-0000-00000B000000}"/>
    <cellStyle name="20% - Accent1 7" xfId="139" xr:uid="{00000000-0005-0000-0000-00000C000000}"/>
    <cellStyle name="20% - Accent1 7 2" xfId="243" xr:uid="{00000000-0005-0000-0000-00000D000000}"/>
    <cellStyle name="20% - Accent1 8" xfId="155" xr:uid="{00000000-0005-0000-0000-00000E000000}"/>
    <cellStyle name="20% - Accent1 9" xfId="258" xr:uid="{00000000-0005-0000-0000-00000F000000}"/>
    <cellStyle name="20% - Accent2" xfId="30" builtinId="34" customBuiltin="1"/>
    <cellStyle name="20% - Accent2 10" xfId="274" xr:uid="{00000000-0005-0000-0000-000011000000}"/>
    <cellStyle name="20% - Accent2 2" xfId="71" xr:uid="{00000000-0005-0000-0000-000012000000}"/>
    <cellStyle name="20% - Accent2 2 2" xfId="175" xr:uid="{00000000-0005-0000-0000-000013000000}"/>
    <cellStyle name="20% - Accent2 3" xfId="85" xr:uid="{00000000-0005-0000-0000-000014000000}"/>
    <cellStyle name="20% - Accent2 3 2" xfId="189" xr:uid="{00000000-0005-0000-0000-000015000000}"/>
    <cellStyle name="20% - Accent2 4" xfId="99" xr:uid="{00000000-0005-0000-0000-000016000000}"/>
    <cellStyle name="20% - Accent2 4 2" xfId="203" xr:uid="{00000000-0005-0000-0000-000017000000}"/>
    <cellStyle name="20% - Accent2 5" xfId="113" xr:uid="{00000000-0005-0000-0000-000018000000}"/>
    <cellStyle name="20% - Accent2 5 2" xfId="217" xr:uid="{00000000-0005-0000-0000-000019000000}"/>
    <cellStyle name="20% - Accent2 6" xfId="127" xr:uid="{00000000-0005-0000-0000-00001A000000}"/>
    <cellStyle name="20% - Accent2 6 2" xfId="231" xr:uid="{00000000-0005-0000-0000-00001B000000}"/>
    <cellStyle name="20% - Accent2 7" xfId="141" xr:uid="{00000000-0005-0000-0000-00001C000000}"/>
    <cellStyle name="20% - Accent2 7 2" xfId="245" xr:uid="{00000000-0005-0000-0000-00001D000000}"/>
    <cellStyle name="20% - Accent2 8" xfId="157" xr:uid="{00000000-0005-0000-0000-00001E000000}"/>
    <cellStyle name="20% - Accent2 9" xfId="260" xr:uid="{00000000-0005-0000-0000-00001F000000}"/>
    <cellStyle name="20% - Accent3" xfId="34" builtinId="38" customBuiltin="1"/>
    <cellStyle name="20% - Accent3 10" xfId="276" xr:uid="{00000000-0005-0000-0000-000021000000}"/>
    <cellStyle name="20% - Accent3 2" xfId="73" xr:uid="{00000000-0005-0000-0000-000022000000}"/>
    <cellStyle name="20% - Accent3 2 2" xfId="177" xr:uid="{00000000-0005-0000-0000-000023000000}"/>
    <cellStyle name="20% - Accent3 3" xfId="87" xr:uid="{00000000-0005-0000-0000-000024000000}"/>
    <cellStyle name="20% - Accent3 3 2" xfId="191" xr:uid="{00000000-0005-0000-0000-000025000000}"/>
    <cellStyle name="20% - Accent3 4" xfId="101" xr:uid="{00000000-0005-0000-0000-000026000000}"/>
    <cellStyle name="20% - Accent3 4 2" xfId="205" xr:uid="{00000000-0005-0000-0000-000027000000}"/>
    <cellStyle name="20% - Accent3 5" xfId="115" xr:uid="{00000000-0005-0000-0000-000028000000}"/>
    <cellStyle name="20% - Accent3 5 2" xfId="219" xr:uid="{00000000-0005-0000-0000-000029000000}"/>
    <cellStyle name="20% - Accent3 6" xfId="129" xr:uid="{00000000-0005-0000-0000-00002A000000}"/>
    <cellStyle name="20% - Accent3 6 2" xfId="233" xr:uid="{00000000-0005-0000-0000-00002B000000}"/>
    <cellStyle name="20% - Accent3 7" xfId="143" xr:uid="{00000000-0005-0000-0000-00002C000000}"/>
    <cellStyle name="20% - Accent3 7 2" xfId="247" xr:uid="{00000000-0005-0000-0000-00002D000000}"/>
    <cellStyle name="20% - Accent3 8" xfId="160" xr:uid="{00000000-0005-0000-0000-00002E000000}"/>
    <cellStyle name="20% - Accent3 9" xfId="262" xr:uid="{00000000-0005-0000-0000-00002F000000}"/>
    <cellStyle name="20% - Accent4" xfId="38" builtinId="42" customBuiltin="1"/>
    <cellStyle name="20% - Accent4 10" xfId="278" xr:uid="{00000000-0005-0000-0000-000031000000}"/>
    <cellStyle name="20% - Accent4 2" xfId="75" xr:uid="{00000000-0005-0000-0000-000032000000}"/>
    <cellStyle name="20% - Accent4 2 2" xfId="179" xr:uid="{00000000-0005-0000-0000-000033000000}"/>
    <cellStyle name="20% - Accent4 3" xfId="89" xr:uid="{00000000-0005-0000-0000-000034000000}"/>
    <cellStyle name="20% - Accent4 3 2" xfId="193" xr:uid="{00000000-0005-0000-0000-000035000000}"/>
    <cellStyle name="20% - Accent4 4" xfId="103" xr:uid="{00000000-0005-0000-0000-000036000000}"/>
    <cellStyle name="20% - Accent4 4 2" xfId="207" xr:uid="{00000000-0005-0000-0000-000037000000}"/>
    <cellStyle name="20% - Accent4 5" xfId="117" xr:uid="{00000000-0005-0000-0000-000038000000}"/>
    <cellStyle name="20% - Accent4 5 2" xfId="221" xr:uid="{00000000-0005-0000-0000-000039000000}"/>
    <cellStyle name="20% - Accent4 6" xfId="131" xr:uid="{00000000-0005-0000-0000-00003A000000}"/>
    <cellStyle name="20% - Accent4 6 2" xfId="235" xr:uid="{00000000-0005-0000-0000-00003B000000}"/>
    <cellStyle name="20% - Accent4 7" xfId="145" xr:uid="{00000000-0005-0000-0000-00003C000000}"/>
    <cellStyle name="20% - Accent4 7 2" xfId="249" xr:uid="{00000000-0005-0000-0000-00003D000000}"/>
    <cellStyle name="20% - Accent4 8" xfId="163" xr:uid="{00000000-0005-0000-0000-00003E000000}"/>
    <cellStyle name="20% - Accent4 9" xfId="264" xr:uid="{00000000-0005-0000-0000-00003F000000}"/>
    <cellStyle name="20% - Accent5" xfId="42" builtinId="46" customBuiltin="1"/>
    <cellStyle name="20% - Accent5 10" xfId="280" xr:uid="{00000000-0005-0000-0000-000041000000}"/>
    <cellStyle name="20% - Accent5 2" xfId="77" xr:uid="{00000000-0005-0000-0000-000042000000}"/>
    <cellStyle name="20% - Accent5 2 2" xfId="181" xr:uid="{00000000-0005-0000-0000-000043000000}"/>
    <cellStyle name="20% - Accent5 3" xfId="91" xr:uid="{00000000-0005-0000-0000-000044000000}"/>
    <cellStyle name="20% - Accent5 3 2" xfId="195" xr:uid="{00000000-0005-0000-0000-000045000000}"/>
    <cellStyle name="20% - Accent5 4" xfId="105" xr:uid="{00000000-0005-0000-0000-000046000000}"/>
    <cellStyle name="20% - Accent5 4 2" xfId="209" xr:uid="{00000000-0005-0000-0000-000047000000}"/>
    <cellStyle name="20% - Accent5 5" xfId="119" xr:uid="{00000000-0005-0000-0000-000048000000}"/>
    <cellStyle name="20% - Accent5 5 2" xfId="223" xr:uid="{00000000-0005-0000-0000-000049000000}"/>
    <cellStyle name="20% - Accent5 6" xfId="133" xr:uid="{00000000-0005-0000-0000-00004A000000}"/>
    <cellStyle name="20% - Accent5 6 2" xfId="237" xr:uid="{00000000-0005-0000-0000-00004B000000}"/>
    <cellStyle name="20% - Accent5 7" xfId="147" xr:uid="{00000000-0005-0000-0000-00004C000000}"/>
    <cellStyle name="20% - Accent5 7 2" xfId="251" xr:uid="{00000000-0005-0000-0000-00004D000000}"/>
    <cellStyle name="20% - Accent5 8" xfId="165" xr:uid="{00000000-0005-0000-0000-00004E000000}"/>
    <cellStyle name="20% - Accent5 9" xfId="266" xr:uid="{00000000-0005-0000-0000-00004F000000}"/>
    <cellStyle name="20% - Accent6" xfId="46" builtinId="50" customBuiltin="1"/>
    <cellStyle name="20% - Accent6 10" xfId="282" xr:uid="{00000000-0005-0000-0000-000051000000}"/>
    <cellStyle name="20% - Accent6 2" xfId="79" xr:uid="{00000000-0005-0000-0000-000052000000}"/>
    <cellStyle name="20% - Accent6 2 2" xfId="183" xr:uid="{00000000-0005-0000-0000-000053000000}"/>
    <cellStyle name="20% - Accent6 3" xfId="93" xr:uid="{00000000-0005-0000-0000-000054000000}"/>
    <cellStyle name="20% - Accent6 3 2" xfId="197" xr:uid="{00000000-0005-0000-0000-000055000000}"/>
    <cellStyle name="20% - Accent6 4" xfId="107" xr:uid="{00000000-0005-0000-0000-000056000000}"/>
    <cellStyle name="20% - Accent6 4 2" xfId="211" xr:uid="{00000000-0005-0000-0000-000057000000}"/>
    <cellStyle name="20% - Accent6 5" xfId="121" xr:uid="{00000000-0005-0000-0000-000058000000}"/>
    <cellStyle name="20% - Accent6 5 2" xfId="225" xr:uid="{00000000-0005-0000-0000-000059000000}"/>
    <cellStyle name="20% - Accent6 6" xfId="135" xr:uid="{00000000-0005-0000-0000-00005A000000}"/>
    <cellStyle name="20% - Accent6 6 2" xfId="239" xr:uid="{00000000-0005-0000-0000-00005B000000}"/>
    <cellStyle name="20% - Accent6 7" xfId="149" xr:uid="{00000000-0005-0000-0000-00005C000000}"/>
    <cellStyle name="20% - Accent6 7 2" xfId="253" xr:uid="{00000000-0005-0000-0000-00005D000000}"/>
    <cellStyle name="20% - Accent6 8" xfId="167" xr:uid="{00000000-0005-0000-0000-00005E000000}"/>
    <cellStyle name="20% - Accent6 9" xfId="268" xr:uid="{00000000-0005-0000-0000-00005F000000}"/>
    <cellStyle name="40% - Accent1" xfId="27" builtinId="31" customBuiltin="1"/>
    <cellStyle name="40% - Accent1 10" xfId="273" xr:uid="{00000000-0005-0000-0000-000061000000}"/>
    <cellStyle name="40% - Accent1 2" xfId="70" xr:uid="{00000000-0005-0000-0000-000062000000}"/>
    <cellStyle name="40% - Accent1 2 2" xfId="174" xr:uid="{00000000-0005-0000-0000-000063000000}"/>
    <cellStyle name="40% - Accent1 3" xfId="84" xr:uid="{00000000-0005-0000-0000-000064000000}"/>
    <cellStyle name="40% - Accent1 3 2" xfId="188" xr:uid="{00000000-0005-0000-0000-000065000000}"/>
    <cellStyle name="40% - Accent1 4" xfId="98" xr:uid="{00000000-0005-0000-0000-000066000000}"/>
    <cellStyle name="40% - Accent1 4 2" xfId="202" xr:uid="{00000000-0005-0000-0000-000067000000}"/>
    <cellStyle name="40% - Accent1 5" xfId="112" xr:uid="{00000000-0005-0000-0000-000068000000}"/>
    <cellStyle name="40% - Accent1 5 2" xfId="216" xr:uid="{00000000-0005-0000-0000-000069000000}"/>
    <cellStyle name="40% - Accent1 6" xfId="126" xr:uid="{00000000-0005-0000-0000-00006A000000}"/>
    <cellStyle name="40% - Accent1 6 2" xfId="230" xr:uid="{00000000-0005-0000-0000-00006B000000}"/>
    <cellStyle name="40% - Accent1 7" xfId="140" xr:uid="{00000000-0005-0000-0000-00006C000000}"/>
    <cellStyle name="40% - Accent1 7 2" xfId="244" xr:uid="{00000000-0005-0000-0000-00006D000000}"/>
    <cellStyle name="40% - Accent1 8" xfId="156" xr:uid="{00000000-0005-0000-0000-00006E000000}"/>
    <cellStyle name="40% - Accent1 9" xfId="259" xr:uid="{00000000-0005-0000-0000-00006F000000}"/>
    <cellStyle name="40% - Accent2" xfId="31" builtinId="35" customBuiltin="1"/>
    <cellStyle name="40% - Accent2 10" xfId="275" xr:uid="{00000000-0005-0000-0000-000071000000}"/>
    <cellStyle name="40% - Accent2 2" xfId="72" xr:uid="{00000000-0005-0000-0000-000072000000}"/>
    <cellStyle name="40% - Accent2 2 2" xfId="176" xr:uid="{00000000-0005-0000-0000-000073000000}"/>
    <cellStyle name="40% - Accent2 3" xfId="86" xr:uid="{00000000-0005-0000-0000-000074000000}"/>
    <cellStyle name="40% - Accent2 3 2" xfId="190" xr:uid="{00000000-0005-0000-0000-000075000000}"/>
    <cellStyle name="40% - Accent2 4" xfId="100" xr:uid="{00000000-0005-0000-0000-000076000000}"/>
    <cellStyle name="40% - Accent2 4 2" xfId="204" xr:uid="{00000000-0005-0000-0000-000077000000}"/>
    <cellStyle name="40% - Accent2 5" xfId="114" xr:uid="{00000000-0005-0000-0000-000078000000}"/>
    <cellStyle name="40% - Accent2 5 2" xfId="218" xr:uid="{00000000-0005-0000-0000-000079000000}"/>
    <cellStyle name="40% - Accent2 6" xfId="128" xr:uid="{00000000-0005-0000-0000-00007A000000}"/>
    <cellStyle name="40% - Accent2 6 2" xfId="232" xr:uid="{00000000-0005-0000-0000-00007B000000}"/>
    <cellStyle name="40% - Accent2 7" xfId="142" xr:uid="{00000000-0005-0000-0000-00007C000000}"/>
    <cellStyle name="40% - Accent2 7 2" xfId="246" xr:uid="{00000000-0005-0000-0000-00007D000000}"/>
    <cellStyle name="40% - Accent2 8" xfId="158" xr:uid="{00000000-0005-0000-0000-00007E000000}"/>
    <cellStyle name="40% - Accent2 9" xfId="261" xr:uid="{00000000-0005-0000-0000-00007F000000}"/>
    <cellStyle name="40% - Accent3" xfId="35" builtinId="39" customBuiltin="1"/>
    <cellStyle name="40% - Accent3 10" xfId="277" xr:uid="{00000000-0005-0000-0000-000081000000}"/>
    <cellStyle name="40% - Accent3 2" xfId="74" xr:uid="{00000000-0005-0000-0000-000082000000}"/>
    <cellStyle name="40% - Accent3 2 2" xfId="178" xr:uid="{00000000-0005-0000-0000-000083000000}"/>
    <cellStyle name="40% - Accent3 3" xfId="88" xr:uid="{00000000-0005-0000-0000-000084000000}"/>
    <cellStyle name="40% - Accent3 3 2" xfId="192" xr:uid="{00000000-0005-0000-0000-000085000000}"/>
    <cellStyle name="40% - Accent3 4" xfId="102" xr:uid="{00000000-0005-0000-0000-000086000000}"/>
    <cellStyle name="40% - Accent3 4 2" xfId="206" xr:uid="{00000000-0005-0000-0000-000087000000}"/>
    <cellStyle name="40% - Accent3 5" xfId="116" xr:uid="{00000000-0005-0000-0000-000088000000}"/>
    <cellStyle name="40% - Accent3 5 2" xfId="220" xr:uid="{00000000-0005-0000-0000-000089000000}"/>
    <cellStyle name="40% - Accent3 6" xfId="130" xr:uid="{00000000-0005-0000-0000-00008A000000}"/>
    <cellStyle name="40% - Accent3 6 2" xfId="234" xr:uid="{00000000-0005-0000-0000-00008B000000}"/>
    <cellStyle name="40% - Accent3 7" xfId="144" xr:uid="{00000000-0005-0000-0000-00008C000000}"/>
    <cellStyle name="40% - Accent3 7 2" xfId="248" xr:uid="{00000000-0005-0000-0000-00008D000000}"/>
    <cellStyle name="40% - Accent3 8" xfId="161" xr:uid="{00000000-0005-0000-0000-00008E000000}"/>
    <cellStyle name="40% - Accent3 9" xfId="263" xr:uid="{00000000-0005-0000-0000-00008F000000}"/>
    <cellStyle name="40% - Accent4" xfId="39" builtinId="43" customBuiltin="1"/>
    <cellStyle name="40% - Accent4 10" xfId="279" xr:uid="{00000000-0005-0000-0000-000091000000}"/>
    <cellStyle name="40% - Accent4 2" xfId="76" xr:uid="{00000000-0005-0000-0000-000092000000}"/>
    <cellStyle name="40% - Accent4 2 2" xfId="180" xr:uid="{00000000-0005-0000-0000-000093000000}"/>
    <cellStyle name="40% - Accent4 3" xfId="90" xr:uid="{00000000-0005-0000-0000-000094000000}"/>
    <cellStyle name="40% - Accent4 3 2" xfId="194" xr:uid="{00000000-0005-0000-0000-000095000000}"/>
    <cellStyle name="40% - Accent4 4" xfId="104" xr:uid="{00000000-0005-0000-0000-000096000000}"/>
    <cellStyle name="40% - Accent4 4 2" xfId="208" xr:uid="{00000000-0005-0000-0000-000097000000}"/>
    <cellStyle name="40% - Accent4 5" xfId="118" xr:uid="{00000000-0005-0000-0000-000098000000}"/>
    <cellStyle name="40% - Accent4 5 2" xfId="222" xr:uid="{00000000-0005-0000-0000-000099000000}"/>
    <cellStyle name="40% - Accent4 6" xfId="132" xr:uid="{00000000-0005-0000-0000-00009A000000}"/>
    <cellStyle name="40% - Accent4 6 2" xfId="236" xr:uid="{00000000-0005-0000-0000-00009B000000}"/>
    <cellStyle name="40% - Accent4 7" xfId="146" xr:uid="{00000000-0005-0000-0000-00009C000000}"/>
    <cellStyle name="40% - Accent4 7 2" xfId="250" xr:uid="{00000000-0005-0000-0000-00009D000000}"/>
    <cellStyle name="40% - Accent4 8" xfId="164" xr:uid="{00000000-0005-0000-0000-00009E000000}"/>
    <cellStyle name="40% - Accent4 9" xfId="265" xr:uid="{00000000-0005-0000-0000-00009F000000}"/>
    <cellStyle name="40% - Accent5" xfId="43" builtinId="47" customBuiltin="1"/>
    <cellStyle name="40% - Accent5 10" xfId="281" xr:uid="{00000000-0005-0000-0000-0000A1000000}"/>
    <cellStyle name="40% - Accent5 2" xfId="78" xr:uid="{00000000-0005-0000-0000-0000A2000000}"/>
    <cellStyle name="40% - Accent5 2 2" xfId="182" xr:uid="{00000000-0005-0000-0000-0000A3000000}"/>
    <cellStyle name="40% - Accent5 3" xfId="92" xr:uid="{00000000-0005-0000-0000-0000A4000000}"/>
    <cellStyle name="40% - Accent5 3 2" xfId="196" xr:uid="{00000000-0005-0000-0000-0000A5000000}"/>
    <cellStyle name="40% - Accent5 4" xfId="106" xr:uid="{00000000-0005-0000-0000-0000A6000000}"/>
    <cellStyle name="40% - Accent5 4 2" xfId="210" xr:uid="{00000000-0005-0000-0000-0000A7000000}"/>
    <cellStyle name="40% - Accent5 5" xfId="120" xr:uid="{00000000-0005-0000-0000-0000A8000000}"/>
    <cellStyle name="40% - Accent5 5 2" xfId="224" xr:uid="{00000000-0005-0000-0000-0000A9000000}"/>
    <cellStyle name="40% - Accent5 6" xfId="134" xr:uid="{00000000-0005-0000-0000-0000AA000000}"/>
    <cellStyle name="40% - Accent5 6 2" xfId="238" xr:uid="{00000000-0005-0000-0000-0000AB000000}"/>
    <cellStyle name="40% - Accent5 7" xfId="148" xr:uid="{00000000-0005-0000-0000-0000AC000000}"/>
    <cellStyle name="40% - Accent5 7 2" xfId="252" xr:uid="{00000000-0005-0000-0000-0000AD000000}"/>
    <cellStyle name="40% - Accent5 8" xfId="166" xr:uid="{00000000-0005-0000-0000-0000AE000000}"/>
    <cellStyle name="40% - Accent5 9" xfId="267" xr:uid="{00000000-0005-0000-0000-0000AF000000}"/>
    <cellStyle name="40% - Accent6" xfId="47" builtinId="51" customBuiltin="1"/>
    <cellStyle name="40% - Accent6 10" xfId="283" xr:uid="{00000000-0005-0000-0000-0000B1000000}"/>
    <cellStyle name="40% - Accent6 2" xfId="80" xr:uid="{00000000-0005-0000-0000-0000B2000000}"/>
    <cellStyle name="40% - Accent6 2 2" xfId="184" xr:uid="{00000000-0005-0000-0000-0000B3000000}"/>
    <cellStyle name="40% - Accent6 3" xfId="94" xr:uid="{00000000-0005-0000-0000-0000B4000000}"/>
    <cellStyle name="40% - Accent6 3 2" xfId="198" xr:uid="{00000000-0005-0000-0000-0000B5000000}"/>
    <cellStyle name="40% - Accent6 4" xfId="108" xr:uid="{00000000-0005-0000-0000-0000B6000000}"/>
    <cellStyle name="40% - Accent6 4 2" xfId="212" xr:uid="{00000000-0005-0000-0000-0000B7000000}"/>
    <cellStyle name="40% - Accent6 5" xfId="122" xr:uid="{00000000-0005-0000-0000-0000B8000000}"/>
    <cellStyle name="40% - Accent6 5 2" xfId="226" xr:uid="{00000000-0005-0000-0000-0000B9000000}"/>
    <cellStyle name="40% - Accent6 6" xfId="136" xr:uid="{00000000-0005-0000-0000-0000BA000000}"/>
    <cellStyle name="40% - Accent6 6 2" xfId="240" xr:uid="{00000000-0005-0000-0000-0000BB000000}"/>
    <cellStyle name="40% - Accent6 7" xfId="150" xr:uid="{00000000-0005-0000-0000-0000BC000000}"/>
    <cellStyle name="40% - Accent6 7 2" xfId="254" xr:uid="{00000000-0005-0000-0000-0000BD000000}"/>
    <cellStyle name="40% - Accent6 8" xfId="168" xr:uid="{00000000-0005-0000-0000-0000BE000000}"/>
    <cellStyle name="40% - Accent6 9" xfId="269" xr:uid="{00000000-0005-0000-0000-0000BF000000}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 2" xfId="6" xr:uid="{00000000-0005-0000-0000-0000CF000000}"/>
    <cellStyle name="Comma 2 10" xfId="290" xr:uid="{00000000-0005-0000-0000-0000D0000000}"/>
    <cellStyle name="Comma 2 11" xfId="291" xr:uid="{00000000-0005-0000-0000-0000D1000000}"/>
    <cellStyle name="Comma 2 2" xfId="8" xr:uid="{00000000-0005-0000-0000-0000D2000000}"/>
    <cellStyle name="Comma 2 3" xfId="49" xr:uid="{00000000-0005-0000-0000-0000D3000000}"/>
    <cellStyle name="Comma 2 4" xfId="284" xr:uid="{00000000-0005-0000-0000-0000D4000000}"/>
    <cellStyle name="Comma 2 5" xfId="285" xr:uid="{00000000-0005-0000-0000-0000D5000000}"/>
    <cellStyle name="Comma 2 6" xfId="286" xr:uid="{00000000-0005-0000-0000-0000D6000000}"/>
    <cellStyle name="Comma 2 7" xfId="287" xr:uid="{00000000-0005-0000-0000-0000D7000000}"/>
    <cellStyle name="Comma 2 8" xfId="288" xr:uid="{00000000-0005-0000-0000-0000D8000000}"/>
    <cellStyle name="Comma 2 9" xfId="289" xr:uid="{00000000-0005-0000-0000-0000D9000000}"/>
    <cellStyle name="Comma0" xfId="52" xr:uid="{00000000-0005-0000-0000-0000DA000000}"/>
    <cellStyle name="Currency" xfId="1" builtinId="4"/>
    <cellStyle name="Currency0" xfId="53" xr:uid="{00000000-0005-0000-0000-0000DC000000}"/>
    <cellStyle name="Date" xfId="54" xr:uid="{00000000-0005-0000-0000-0000DD000000}"/>
    <cellStyle name="Explanatory Text" xfId="23" builtinId="53" customBuiltin="1"/>
    <cellStyle name="Fixed" xfId="55" xr:uid="{00000000-0005-0000-0000-0000DF000000}"/>
    <cellStyle name="Good" xfId="13" builtinId="26" customBuiltin="1"/>
    <cellStyle name="Heading 1" xfId="9" builtinId="16" customBuiltin="1"/>
    <cellStyle name="Heading 1 2" xfId="63" xr:uid="{00000000-0005-0000-0000-0000E2000000}"/>
    <cellStyle name="Heading 1 3" xfId="56" xr:uid="{00000000-0005-0000-0000-0000E3000000}"/>
    <cellStyle name="Heading 2" xfId="10" builtinId="17" customBuiltin="1"/>
    <cellStyle name="Heading 2 2" xfId="64" xr:uid="{00000000-0005-0000-0000-0000E5000000}"/>
    <cellStyle name="Heading 2 3" xfId="57" xr:uid="{00000000-0005-0000-0000-0000E6000000}"/>
    <cellStyle name="Heading 3" xfId="11" builtinId="18" customBuiltin="1"/>
    <cellStyle name="Heading 4" xfId="12" builtinId="19" customBuiltin="1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10" xfId="123" xr:uid="{00000000-0005-0000-0000-0000ED000000}"/>
    <cellStyle name="Normal 10 2" xfId="227" xr:uid="{00000000-0005-0000-0000-0000EE000000}"/>
    <cellStyle name="Normal 11" xfId="137" xr:uid="{00000000-0005-0000-0000-0000EF000000}"/>
    <cellStyle name="Normal 11 2" xfId="241" xr:uid="{00000000-0005-0000-0000-0000F0000000}"/>
    <cellStyle name="Normal 12" xfId="151" xr:uid="{00000000-0005-0000-0000-0000F1000000}"/>
    <cellStyle name="Normal 12 2" xfId="255" xr:uid="{00000000-0005-0000-0000-0000F2000000}"/>
    <cellStyle name="Normal 13" xfId="152" xr:uid="{00000000-0005-0000-0000-0000F3000000}"/>
    <cellStyle name="Normal 14" xfId="153" xr:uid="{00000000-0005-0000-0000-0000F4000000}"/>
    <cellStyle name="Normal 15" xfId="256" xr:uid="{00000000-0005-0000-0000-0000F5000000}"/>
    <cellStyle name="Normal 16" xfId="270" xr:uid="{00000000-0005-0000-0000-0000F6000000}"/>
    <cellStyle name="Normal 17" xfId="51" xr:uid="{00000000-0005-0000-0000-0000F7000000}"/>
    <cellStyle name="Normal 2" xfId="2" xr:uid="{00000000-0005-0000-0000-0000F8000000}"/>
    <cellStyle name="Normal 2 2" xfId="58" xr:uid="{00000000-0005-0000-0000-0000F9000000}"/>
    <cellStyle name="Normal 3" xfId="7" xr:uid="{00000000-0005-0000-0000-0000FA000000}"/>
    <cellStyle name="Normal 3 2" xfId="162" xr:uid="{00000000-0005-0000-0000-0000FB000000}"/>
    <cellStyle name="Normal 3 3" xfId="60" xr:uid="{00000000-0005-0000-0000-0000FC000000}"/>
    <cellStyle name="Normal 4" xfId="3" xr:uid="{00000000-0005-0000-0000-0000FD000000}"/>
    <cellStyle name="Normal 4 2" xfId="159" xr:uid="{00000000-0005-0000-0000-0000FE000000}"/>
    <cellStyle name="Normal 4 3" xfId="61" xr:uid="{00000000-0005-0000-0000-0000FF000000}"/>
    <cellStyle name="Normal 5" xfId="62" xr:uid="{00000000-0005-0000-0000-000000010000}"/>
    <cellStyle name="Normal 5 2" xfId="169" xr:uid="{00000000-0005-0000-0000-000001010000}"/>
    <cellStyle name="Normal 6" xfId="67" xr:uid="{00000000-0005-0000-0000-000002010000}"/>
    <cellStyle name="Normal 6 2" xfId="171" xr:uid="{00000000-0005-0000-0000-000003010000}"/>
    <cellStyle name="Normal 7" xfId="81" xr:uid="{00000000-0005-0000-0000-000004010000}"/>
    <cellStyle name="Normal 7 2" xfId="185" xr:uid="{00000000-0005-0000-0000-000005010000}"/>
    <cellStyle name="Normal 8" xfId="95" xr:uid="{00000000-0005-0000-0000-000006010000}"/>
    <cellStyle name="Normal 8 2" xfId="199" xr:uid="{00000000-0005-0000-0000-000007010000}"/>
    <cellStyle name="Normal 9" xfId="109" xr:uid="{00000000-0005-0000-0000-000008010000}"/>
    <cellStyle name="Normal 9 2" xfId="213" xr:uid="{00000000-0005-0000-0000-000009010000}"/>
    <cellStyle name="Note" xfId="22" builtinId="10" customBuiltin="1"/>
    <cellStyle name="Note 10" xfId="257" xr:uid="{00000000-0005-0000-0000-00000B010000}"/>
    <cellStyle name="Note 11" xfId="271" xr:uid="{00000000-0005-0000-0000-00000C010000}"/>
    <cellStyle name="Note 2" xfId="65" xr:uid="{00000000-0005-0000-0000-00000D010000}"/>
    <cellStyle name="Note 2 2" xfId="170" xr:uid="{00000000-0005-0000-0000-00000E010000}"/>
    <cellStyle name="Note 3" xfId="68" xr:uid="{00000000-0005-0000-0000-00000F010000}"/>
    <cellStyle name="Note 3 2" xfId="172" xr:uid="{00000000-0005-0000-0000-000010010000}"/>
    <cellStyle name="Note 4" xfId="82" xr:uid="{00000000-0005-0000-0000-000011010000}"/>
    <cellStyle name="Note 4 2" xfId="186" xr:uid="{00000000-0005-0000-0000-000012010000}"/>
    <cellStyle name="Note 5" xfId="96" xr:uid="{00000000-0005-0000-0000-000013010000}"/>
    <cellStyle name="Note 5 2" xfId="200" xr:uid="{00000000-0005-0000-0000-000014010000}"/>
    <cellStyle name="Note 6" xfId="110" xr:uid="{00000000-0005-0000-0000-000015010000}"/>
    <cellStyle name="Note 6 2" xfId="214" xr:uid="{00000000-0005-0000-0000-000016010000}"/>
    <cellStyle name="Note 7" xfId="124" xr:uid="{00000000-0005-0000-0000-000017010000}"/>
    <cellStyle name="Note 7 2" xfId="228" xr:uid="{00000000-0005-0000-0000-000018010000}"/>
    <cellStyle name="Note 8" xfId="138" xr:uid="{00000000-0005-0000-0000-000019010000}"/>
    <cellStyle name="Note 8 2" xfId="242" xr:uid="{00000000-0005-0000-0000-00001A010000}"/>
    <cellStyle name="Note 9" xfId="154" xr:uid="{00000000-0005-0000-0000-00001B010000}"/>
    <cellStyle name="Output" xfId="17" builtinId="21" customBuiltin="1"/>
    <cellStyle name="Percent 2" xfId="5" xr:uid="{00000000-0005-0000-0000-00001D010000}"/>
    <cellStyle name="Percent 3" xfId="4" xr:uid="{00000000-0005-0000-0000-00001E010000}"/>
    <cellStyle name="Title 2" xfId="50" xr:uid="{00000000-0005-0000-0000-00001F010000}"/>
    <cellStyle name="Total" xfId="24" builtinId="25" customBuiltin="1"/>
    <cellStyle name="Total 2" xfId="66" xr:uid="{00000000-0005-0000-0000-000021010000}"/>
    <cellStyle name="Total 3" xfId="59" xr:uid="{00000000-0005-0000-0000-000022010000}"/>
    <cellStyle name="Warning Text" xfId="2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Ontario</a:t>
            </a:r>
            <a:r>
              <a:rPr lang="en-US" baseline="0"/>
              <a:t> Crude </a:t>
            </a:r>
            <a:r>
              <a:rPr lang="en-US"/>
              <a:t>Price Comparisons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340252918690097"/>
          <c:y val="9.5333393670618757E-2"/>
          <c:w val="0.84342011403861561"/>
          <c:h val="0.70364037458472495"/>
        </c:manualLayout>
      </c:layout>
      <c:lineChart>
        <c:grouping val="standard"/>
        <c:varyColors val="0"/>
        <c:ser>
          <c:idx val="0"/>
          <c:order val="0"/>
          <c:tx>
            <c:v>NYMEX Oil ($Cdn/Bbl)</c:v>
          </c:tx>
          <c:cat>
            <c:strRef>
              <c:f>Sheet1!$A$62:$A$155</c:f>
              <c:strCache>
                <c:ptCount val="94"/>
                <c:pt idx="0">
                  <c:v>Jul,16</c:v>
                </c:pt>
                <c:pt idx="1">
                  <c:v>Aug,16</c:v>
                </c:pt>
                <c:pt idx="2">
                  <c:v>Sep,16</c:v>
                </c:pt>
                <c:pt idx="3">
                  <c:v>Oct,16</c:v>
                </c:pt>
                <c:pt idx="4">
                  <c:v>Nov,16</c:v>
                </c:pt>
                <c:pt idx="5">
                  <c:v>Dec,16</c:v>
                </c:pt>
                <c:pt idx="6">
                  <c:v>Jan,17</c:v>
                </c:pt>
                <c:pt idx="7">
                  <c:v>Feb,17</c:v>
                </c:pt>
                <c:pt idx="8">
                  <c:v>Mar,17</c:v>
                </c:pt>
                <c:pt idx="9">
                  <c:v>Apr,17</c:v>
                </c:pt>
                <c:pt idx="10">
                  <c:v>May,17</c:v>
                </c:pt>
                <c:pt idx="11">
                  <c:v>Jun,17</c:v>
                </c:pt>
                <c:pt idx="12">
                  <c:v>Jul,17</c:v>
                </c:pt>
                <c:pt idx="13">
                  <c:v>Aug,17</c:v>
                </c:pt>
                <c:pt idx="14">
                  <c:v>Sep,17</c:v>
                </c:pt>
                <c:pt idx="15">
                  <c:v>Oct,17</c:v>
                </c:pt>
                <c:pt idx="16">
                  <c:v>Nov,17</c:v>
                </c:pt>
                <c:pt idx="17">
                  <c:v>Dec,17</c:v>
                </c:pt>
                <c:pt idx="18">
                  <c:v>Jan,18</c:v>
                </c:pt>
                <c:pt idx="19">
                  <c:v>Feb,18</c:v>
                </c:pt>
                <c:pt idx="20">
                  <c:v>Mar,18</c:v>
                </c:pt>
                <c:pt idx="21">
                  <c:v>Apr,18</c:v>
                </c:pt>
                <c:pt idx="22">
                  <c:v>May,18</c:v>
                </c:pt>
                <c:pt idx="23">
                  <c:v>Jun,18</c:v>
                </c:pt>
                <c:pt idx="24">
                  <c:v>Jul,18</c:v>
                </c:pt>
                <c:pt idx="25">
                  <c:v>Aug,18</c:v>
                </c:pt>
                <c:pt idx="26">
                  <c:v>Sep,18</c:v>
                </c:pt>
                <c:pt idx="27">
                  <c:v>Oct,18</c:v>
                </c:pt>
                <c:pt idx="28">
                  <c:v>Nov,18</c:v>
                </c:pt>
                <c:pt idx="29">
                  <c:v>Dec,18</c:v>
                </c:pt>
                <c:pt idx="30">
                  <c:v>Jan,19</c:v>
                </c:pt>
                <c:pt idx="31">
                  <c:v>Feb,19</c:v>
                </c:pt>
                <c:pt idx="32">
                  <c:v>Mar,19</c:v>
                </c:pt>
                <c:pt idx="33">
                  <c:v>Apr,19</c:v>
                </c:pt>
                <c:pt idx="34">
                  <c:v>May,19</c:v>
                </c:pt>
                <c:pt idx="35">
                  <c:v>Jun,19</c:v>
                </c:pt>
                <c:pt idx="36">
                  <c:v>Jul,19</c:v>
                </c:pt>
                <c:pt idx="37">
                  <c:v>Aug,19</c:v>
                </c:pt>
                <c:pt idx="38">
                  <c:v>Sep,19</c:v>
                </c:pt>
                <c:pt idx="39">
                  <c:v>Oct,19</c:v>
                </c:pt>
                <c:pt idx="40">
                  <c:v>Nov,19</c:v>
                </c:pt>
                <c:pt idx="41">
                  <c:v>Dec,19</c:v>
                </c:pt>
                <c:pt idx="42">
                  <c:v>Jan,20</c:v>
                </c:pt>
                <c:pt idx="43">
                  <c:v>Feb,20</c:v>
                </c:pt>
                <c:pt idx="44">
                  <c:v>Mar,20</c:v>
                </c:pt>
                <c:pt idx="45">
                  <c:v>Apr,20</c:v>
                </c:pt>
                <c:pt idx="46">
                  <c:v>May,20</c:v>
                </c:pt>
                <c:pt idx="47">
                  <c:v>Jun,20</c:v>
                </c:pt>
                <c:pt idx="48">
                  <c:v>Jul,20</c:v>
                </c:pt>
                <c:pt idx="49">
                  <c:v>Aug,20</c:v>
                </c:pt>
                <c:pt idx="50">
                  <c:v>Sep,20</c:v>
                </c:pt>
                <c:pt idx="51">
                  <c:v>Oct,20</c:v>
                </c:pt>
                <c:pt idx="52">
                  <c:v>Nov,20</c:v>
                </c:pt>
                <c:pt idx="53">
                  <c:v>Dec,20</c:v>
                </c:pt>
                <c:pt idx="54">
                  <c:v>Jan,21</c:v>
                </c:pt>
                <c:pt idx="55">
                  <c:v>Feb,21</c:v>
                </c:pt>
                <c:pt idx="56">
                  <c:v>Mar,21</c:v>
                </c:pt>
                <c:pt idx="57">
                  <c:v>Apr,21</c:v>
                </c:pt>
                <c:pt idx="58">
                  <c:v>May,21</c:v>
                </c:pt>
                <c:pt idx="59">
                  <c:v>Jun,21</c:v>
                </c:pt>
                <c:pt idx="60">
                  <c:v>Jul,21</c:v>
                </c:pt>
                <c:pt idx="61">
                  <c:v>Aug,21</c:v>
                </c:pt>
                <c:pt idx="62">
                  <c:v>Sep,21</c:v>
                </c:pt>
                <c:pt idx="63">
                  <c:v>Oct,21</c:v>
                </c:pt>
                <c:pt idx="64">
                  <c:v>Nov,21</c:v>
                </c:pt>
                <c:pt idx="65">
                  <c:v>Dec,21</c:v>
                </c:pt>
                <c:pt idx="66">
                  <c:v>Jan,22</c:v>
                </c:pt>
                <c:pt idx="67">
                  <c:v>Feb,22</c:v>
                </c:pt>
                <c:pt idx="68">
                  <c:v>Mar,22</c:v>
                </c:pt>
                <c:pt idx="69">
                  <c:v>Apr,22</c:v>
                </c:pt>
                <c:pt idx="70">
                  <c:v>May,22</c:v>
                </c:pt>
                <c:pt idx="71">
                  <c:v>Jun,22</c:v>
                </c:pt>
                <c:pt idx="72">
                  <c:v>Jul,22</c:v>
                </c:pt>
                <c:pt idx="73">
                  <c:v>Aug,22</c:v>
                </c:pt>
                <c:pt idx="74">
                  <c:v>Sep,22</c:v>
                </c:pt>
                <c:pt idx="75">
                  <c:v>Oct,22</c:v>
                </c:pt>
                <c:pt idx="76">
                  <c:v>Nov,22</c:v>
                </c:pt>
                <c:pt idx="77">
                  <c:v>Dec,22</c:v>
                </c:pt>
                <c:pt idx="78">
                  <c:v>Jan,23</c:v>
                </c:pt>
                <c:pt idx="79">
                  <c:v>Feb,23</c:v>
                </c:pt>
                <c:pt idx="80">
                  <c:v>Mar,23</c:v>
                </c:pt>
                <c:pt idx="81">
                  <c:v>Apr,23</c:v>
                </c:pt>
                <c:pt idx="82">
                  <c:v>May,23</c:v>
                </c:pt>
                <c:pt idx="83">
                  <c:v>Jun,23</c:v>
                </c:pt>
                <c:pt idx="84">
                  <c:v>Jul,23</c:v>
                </c:pt>
                <c:pt idx="85">
                  <c:v>Aug,23</c:v>
                </c:pt>
                <c:pt idx="86">
                  <c:v>Sep,23</c:v>
                </c:pt>
                <c:pt idx="87">
                  <c:v>Oct,23</c:v>
                </c:pt>
                <c:pt idx="88">
                  <c:v>Nov,23</c:v>
                </c:pt>
                <c:pt idx="89">
                  <c:v>Dec,23</c:v>
                </c:pt>
                <c:pt idx="90">
                  <c:v>Jan,24</c:v>
                </c:pt>
                <c:pt idx="91">
                  <c:v>Feb,24</c:v>
                </c:pt>
                <c:pt idx="92">
                  <c:v>Mar,24</c:v>
                </c:pt>
                <c:pt idx="93">
                  <c:v>Apr,24</c:v>
                </c:pt>
              </c:strCache>
            </c:strRef>
          </c:cat>
          <c:val>
            <c:numRef>
              <c:f>Sheet1!$F$62:$F$155</c:f>
              <c:numCache>
                <c:formatCode>"$"#,##0.00</c:formatCode>
                <c:ptCount val="94"/>
                <c:pt idx="0">
                  <c:v>58.401772910963366</c:v>
                </c:pt>
                <c:pt idx="1">
                  <c:v>58.234758871701544</c:v>
                </c:pt>
                <c:pt idx="2">
                  <c:v>59.199835441736091</c:v>
                </c:pt>
                <c:pt idx="3">
                  <c:v>66.149033063793823</c:v>
                </c:pt>
                <c:pt idx="4">
                  <c:v>61.530308546424266</c:v>
                </c:pt>
                <c:pt idx="5">
                  <c:v>69.652220958299807</c:v>
                </c:pt>
                <c:pt idx="6">
                  <c:v>69.463086442722613</c:v>
                </c:pt>
                <c:pt idx="7">
                  <c:v>70.095391092437978</c:v>
                </c:pt>
                <c:pt idx="8">
                  <c:v>66.475047856216051</c:v>
                </c:pt>
                <c:pt idx="9">
                  <c:v>68.67752471557904</c:v>
                </c:pt>
                <c:pt idx="10">
                  <c:v>65.992572379267585</c:v>
                </c:pt>
                <c:pt idx="11">
                  <c:v>60.07625009063004</c:v>
                </c:pt>
                <c:pt idx="12">
                  <c:v>59.25658356104757</c:v>
                </c:pt>
                <c:pt idx="13">
                  <c:v>60.586942341739885</c:v>
                </c:pt>
                <c:pt idx="14">
                  <c:v>61.304344008476114</c:v>
                </c:pt>
                <c:pt idx="15">
                  <c:v>64.973174767676895</c:v>
                </c:pt>
                <c:pt idx="16">
                  <c:v>72.301962904685823</c:v>
                </c:pt>
                <c:pt idx="17">
                  <c:v>73.942979018174526</c:v>
                </c:pt>
                <c:pt idx="18">
                  <c:v>79.159413081323052</c:v>
                </c:pt>
                <c:pt idx="19">
                  <c:v>78.253906436280971</c:v>
                </c:pt>
                <c:pt idx="20">
                  <c:v>81.144891939218013</c:v>
                </c:pt>
                <c:pt idx="21">
                  <c:v>84.431337366487625</c:v>
                </c:pt>
                <c:pt idx="22">
                  <c:v>90.07066801698717</c:v>
                </c:pt>
                <c:pt idx="23">
                  <c:v>88.37063938043417</c:v>
                </c:pt>
                <c:pt idx="24">
                  <c:v>92.833835875236147</c:v>
                </c:pt>
                <c:pt idx="25">
                  <c:v>88.186204198722123</c:v>
                </c:pt>
                <c:pt idx="26">
                  <c:v>91.353060056883379</c:v>
                </c:pt>
                <c:pt idx="27">
                  <c:v>92.115687139963143</c:v>
                </c:pt>
                <c:pt idx="28">
                  <c:v>74.857058261012213</c:v>
                </c:pt>
                <c:pt idx="29">
                  <c:v>65.893879799623349</c:v>
                </c:pt>
                <c:pt idx="30">
                  <c:v>68.598362216195966</c:v>
                </c:pt>
                <c:pt idx="31">
                  <c:v>72.460705322942815</c:v>
                </c:pt>
                <c:pt idx="32">
                  <c:v>77.57628421509979</c:v>
                </c:pt>
                <c:pt idx="33">
                  <c:v>85.437258074930085</c:v>
                </c:pt>
                <c:pt idx="34">
                  <c:v>82.032895233899552</c:v>
                </c:pt>
                <c:pt idx="35">
                  <c:v>72.662974179152059</c:v>
                </c:pt>
                <c:pt idx="36">
                  <c:v>75.396265616034555</c:v>
                </c:pt>
                <c:pt idx="37">
                  <c:v>72.78930032214862</c:v>
                </c:pt>
                <c:pt idx="38">
                  <c:v>75.03947368421052</c:v>
                </c:pt>
                <c:pt idx="39">
                  <c:v>71.238164060035672</c:v>
                </c:pt>
                <c:pt idx="40">
                  <c:v>75.548425325903324</c:v>
                </c:pt>
                <c:pt idx="41">
                  <c:v>78.741809068397572</c:v>
                </c:pt>
                <c:pt idx="42">
                  <c:v>75.251641795652802</c:v>
                </c:pt>
                <c:pt idx="43">
                  <c:v>67.145511658517904</c:v>
                </c:pt>
                <c:pt idx="44">
                  <c:v>42.432151635709403</c:v>
                </c:pt>
                <c:pt idx="45">
                  <c:v>23.461956612641536</c:v>
                </c:pt>
                <c:pt idx="46">
                  <c:v>39.854274632942399</c:v>
                </c:pt>
                <c:pt idx="47">
                  <c:v>51.912982404258479</c:v>
                </c:pt>
                <c:pt idx="48">
                  <c:v>55.041527534439048</c:v>
                </c:pt>
                <c:pt idx="49">
                  <c:v>56.077033079874262</c:v>
                </c:pt>
                <c:pt idx="50">
                  <c:v>52.389451643061896</c:v>
                </c:pt>
                <c:pt idx="51">
                  <c:v>52.254535191645999</c:v>
                </c:pt>
                <c:pt idx="52">
                  <c:v>54.044348313208012</c:v>
                </c:pt>
                <c:pt idx="53">
                  <c:v>60.296768509423082</c:v>
                </c:pt>
                <c:pt idx="54">
                  <c:v>66.28164231569383</c:v>
                </c:pt>
                <c:pt idx="55">
                  <c:v>74.982927445317685</c:v>
                </c:pt>
                <c:pt idx="56">
                  <c:v>78.397524898601745</c:v>
                </c:pt>
                <c:pt idx="57">
                  <c:v>77.078115682766835</c:v>
                </c:pt>
                <c:pt idx="58">
                  <c:v>78.982284794015285</c:v>
                </c:pt>
                <c:pt idx="59">
                  <c:v>87.110231786116529</c:v>
                </c:pt>
                <c:pt idx="60">
                  <c:v>90.664819929587736</c:v>
                </c:pt>
                <c:pt idx="61">
                  <c:v>85.294909159619138</c:v>
                </c:pt>
                <c:pt idx="62">
                  <c:v>90.668369560983564</c:v>
                </c:pt>
                <c:pt idx="63">
                  <c:v>101.02943789610852</c:v>
                </c:pt>
                <c:pt idx="64">
                  <c:v>98.848008313033603</c:v>
                </c:pt>
                <c:pt idx="65">
                  <c:v>91.705274164214885</c:v>
                </c:pt>
                <c:pt idx="66">
                  <c:v>104.78343485607424</c:v>
                </c:pt>
                <c:pt idx="67">
                  <c:v>116.53327317964244</c:v>
                </c:pt>
                <c:pt idx="68">
                  <c:v>136.98418374363914</c:v>
                </c:pt>
                <c:pt idx="69">
                  <c:v>128.40730936983005</c:v>
                </c:pt>
                <c:pt idx="70">
                  <c:v>140.34457026306254</c:v>
                </c:pt>
                <c:pt idx="71">
                  <c:v>146.51168079789434</c:v>
                </c:pt>
                <c:pt idx="72">
                  <c:v>128.5057354489536</c:v>
                </c:pt>
                <c:pt idx="73">
                  <c:v>118.20720108313998</c:v>
                </c:pt>
                <c:pt idx="74">
                  <c:v>111.71285339759717</c:v>
                </c:pt>
                <c:pt idx="75">
                  <c:v>119.16140726058836</c:v>
                </c:pt>
                <c:pt idx="76">
                  <c:v>113.3800973669057</c:v>
                </c:pt>
                <c:pt idx="77">
                  <c:v>104.01426661876603</c:v>
                </c:pt>
                <c:pt idx="78">
                  <c:v>104.92324213506458</c:v>
                </c:pt>
                <c:pt idx="79">
                  <c:v>103.37663256999261</c:v>
                </c:pt>
                <c:pt idx="80">
                  <c:v>100.38307566934147</c:v>
                </c:pt>
                <c:pt idx="81">
                  <c:v>107.19616528123291</c:v>
                </c:pt>
                <c:pt idx="82">
                  <c:v>96.812315405690768</c:v>
                </c:pt>
                <c:pt idx="83">
                  <c:v>93.352229940541235</c:v>
                </c:pt>
                <c:pt idx="84">
                  <c:v>100.49118269012914</c:v>
                </c:pt>
                <c:pt idx="85">
                  <c:v>109.61741332020534</c:v>
                </c:pt>
                <c:pt idx="86">
                  <c:v>121.10842775244888</c:v>
                </c:pt>
                <c:pt idx="87">
                  <c:v>117.18217341717714</c:v>
                </c:pt>
                <c:pt idx="88">
                  <c:v>106.06081374363188</c:v>
                </c:pt>
                <c:pt idx="89">
                  <c:v>96.722895951874648</c:v>
                </c:pt>
                <c:pt idx="90">
                  <c:v>99.078035516059302</c:v>
                </c:pt>
                <c:pt idx="91">
                  <c:v>103.40857961922637</c:v>
                </c:pt>
                <c:pt idx="92">
                  <c:v>108.83329251156977</c:v>
                </c:pt>
                <c:pt idx="93">
                  <c:v>115.39422491267757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85-4816-8D39-EFF90618107D}"/>
            </c:ext>
          </c:extLst>
        </c:ser>
        <c:ser>
          <c:idx val="1"/>
          <c:order val="1"/>
          <c:tx>
            <c:v>Hillman ($Cdn/Bbl)</c:v>
          </c:tx>
          <c:cat>
            <c:strRef>
              <c:f>Sheet1!$A$62:$A$155</c:f>
              <c:strCache>
                <c:ptCount val="94"/>
                <c:pt idx="0">
                  <c:v>Jul,16</c:v>
                </c:pt>
                <c:pt idx="1">
                  <c:v>Aug,16</c:v>
                </c:pt>
                <c:pt idx="2">
                  <c:v>Sep,16</c:v>
                </c:pt>
                <c:pt idx="3">
                  <c:v>Oct,16</c:v>
                </c:pt>
                <c:pt idx="4">
                  <c:v>Nov,16</c:v>
                </c:pt>
                <c:pt idx="5">
                  <c:v>Dec,16</c:v>
                </c:pt>
                <c:pt idx="6">
                  <c:v>Jan,17</c:v>
                </c:pt>
                <c:pt idx="7">
                  <c:v>Feb,17</c:v>
                </c:pt>
                <c:pt idx="8">
                  <c:v>Mar,17</c:v>
                </c:pt>
                <c:pt idx="9">
                  <c:v>Apr,17</c:v>
                </c:pt>
                <c:pt idx="10">
                  <c:v>May,17</c:v>
                </c:pt>
                <c:pt idx="11">
                  <c:v>Jun,17</c:v>
                </c:pt>
                <c:pt idx="12">
                  <c:v>Jul,17</c:v>
                </c:pt>
                <c:pt idx="13">
                  <c:v>Aug,17</c:v>
                </c:pt>
                <c:pt idx="14">
                  <c:v>Sep,17</c:v>
                </c:pt>
                <c:pt idx="15">
                  <c:v>Oct,17</c:v>
                </c:pt>
                <c:pt idx="16">
                  <c:v>Nov,17</c:v>
                </c:pt>
                <c:pt idx="17">
                  <c:v>Dec,17</c:v>
                </c:pt>
                <c:pt idx="18">
                  <c:v>Jan,18</c:v>
                </c:pt>
                <c:pt idx="19">
                  <c:v>Feb,18</c:v>
                </c:pt>
                <c:pt idx="20">
                  <c:v>Mar,18</c:v>
                </c:pt>
                <c:pt idx="21">
                  <c:v>Apr,18</c:v>
                </c:pt>
                <c:pt idx="22">
                  <c:v>May,18</c:v>
                </c:pt>
                <c:pt idx="23">
                  <c:v>Jun,18</c:v>
                </c:pt>
                <c:pt idx="24">
                  <c:v>Jul,18</c:v>
                </c:pt>
                <c:pt idx="25">
                  <c:v>Aug,18</c:v>
                </c:pt>
                <c:pt idx="26">
                  <c:v>Sep,18</c:v>
                </c:pt>
                <c:pt idx="27">
                  <c:v>Oct,18</c:v>
                </c:pt>
                <c:pt idx="28">
                  <c:v>Nov,18</c:v>
                </c:pt>
                <c:pt idx="29">
                  <c:v>Dec,18</c:v>
                </c:pt>
                <c:pt idx="30">
                  <c:v>Jan,19</c:v>
                </c:pt>
                <c:pt idx="31">
                  <c:v>Feb,19</c:v>
                </c:pt>
                <c:pt idx="32">
                  <c:v>Mar,19</c:v>
                </c:pt>
                <c:pt idx="33">
                  <c:v>Apr,19</c:v>
                </c:pt>
                <c:pt idx="34">
                  <c:v>May,19</c:v>
                </c:pt>
                <c:pt idx="35">
                  <c:v>Jun,19</c:v>
                </c:pt>
                <c:pt idx="36">
                  <c:v>Jul,19</c:v>
                </c:pt>
                <c:pt idx="37">
                  <c:v>Aug,19</c:v>
                </c:pt>
                <c:pt idx="38">
                  <c:v>Sep,19</c:v>
                </c:pt>
                <c:pt idx="39">
                  <c:v>Oct,19</c:v>
                </c:pt>
                <c:pt idx="40">
                  <c:v>Nov,19</c:v>
                </c:pt>
                <c:pt idx="41">
                  <c:v>Dec,19</c:v>
                </c:pt>
                <c:pt idx="42">
                  <c:v>Jan,20</c:v>
                </c:pt>
                <c:pt idx="43">
                  <c:v>Feb,20</c:v>
                </c:pt>
                <c:pt idx="44">
                  <c:v>Mar,20</c:v>
                </c:pt>
                <c:pt idx="45">
                  <c:v>Apr,20</c:v>
                </c:pt>
                <c:pt idx="46">
                  <c:v>May,20</c:v>
                </c:pt>
                <c:pt idx="47">
                  <c:v>Jun,20</c:v>
                </c:pt>
                <c:pt idx="48">
                  <c:v>Jul,20</c:v>
                </c:pt>
                <c:pt idx="49">
                  <c:v>Aug,20</c:v>
                </c:pt>
                <c:pt idx="50">
                  <c:v>Sep,20</c:v>
                </c:pt>
                <c:pt idx="51">
                  <c:v>Oct,20</c:v>
                </c:pt>
                <c:pt idx="52">
                  <c:v>Nov,20</c:v>
                </c:pt>
                <c:pt idx="53">
                  <c:v>Dec,20</c:v>
                </c:pt>
                <c:pt idx="54">
                  <c:v>Jan,21</c:v>
                </c:pt>
                <c:pt idx="55">
                  <c:v>Feb,21</c:v>
                </c:pt>
                <c:pt idx="56">
                  <c:v>Mar,21</c:v>
                </c:pt>
                <c:pt idx="57">
                  <c:v>Apr,21</c:v>
                </c:pt>
                <c:pt idx="58">
                  <c:v>May,21</c:v>
                </c:pt>
                <c:pt idx="59">
                  <c:v>Jun,21</c:v>
                </c:pt>
                <c:pt idx="60">
                  <c:v>Jul,21</c:v>
                </c:pt>
                <c:pt idx="61">
                  <c:v>Aug,21</c:v>
                </c:pt>
                <c:pt idx="62">
                  <c:v>Sep,21</c:v>
                </c:pt>
                <c:pt idx="63">
                  <c:v>Oct,21</c:v>
                </c:pt>
                <c:pt idx="64">
                  <c:v>Nov,21</c:v>
                </c:pt>
                <c:pt idx="65">
                  <c:v>Dec,21</c:v>
                </c:pt>
                <c:pt idx="66">
                  <c:v>Jan,22</c:v>
                </c:pt>
                <c:pt idx="67">
                  <c:v>Feb,22</c:v>
                </c:pt>
                <c:pt idx="68">
                  <c:v>Mar,22</c:v>
                </c:pt>
                <c:pt idx="69">
                  <c:v>Apr,22</c:v>
                </c:pt>
                <c:pt idx="70">
                  <c:v>May,22</c:v>
                </c:pt>
                <c:pt idx="71">
                  <c:v>Jun,22</c:v>
                </c:pt>
                <c:pt idx="72">
                  <c:v>Jul,22</c:v>
                </c:pt>
                <c:pt idx="73">
                  <c:v>Aug,22</c:v>
                </c:pt>
                <c:pt idx="74">
                  <c:v>Sep,22</c:v>
                </c:pt>
                <c:pt idx="75">
                  <c:v>Oct,22</c:v>
                </c:pt>
                <c:pt idx="76">
                  <c:v>Nov,22</c:v>
                </c:pt>
                <c:pt idx="77">
                  <c:v>Dec,22</c:v>
                </c:pt>
                <c:pt idx="78">
                  <c:v>Jan,23</c:v>
                </c:pt>
                <c:pt idx="79">
                  <c:v>Feb,23</c:v>
                </c:pt>
                <c:pt idx="80">
                  <c:v>Mar,23</c:v>
                </c:pt>
                <c:pt idx="81">
                  <c:v>Apr,23</c:v>
                </c:pt>
                <c:pt idx="82">
                  <c:v>May,23</c:v>
                </c:pt>
                <c:pt idx="83">
                  <c:v>Jun,23</c:v>
                </c:pt>
                <c:pt idx="84">
                  <c:v>Jul,23</c:v>
                </c:pt>
                <c:pt idx="85">
                  <c:v>Aug,23</c:v>
                </c:pt>
                <c:pt idx="86">
                  <c:v>Sep,23</c:v>
                </c:pt>
                <c:pt idx="87">
                  <c:v>Oct,23</c:v>
                </c:pt>
                <c:pt idx="88">
                  <c:v>Nov,23</c:v>
                </c:pt>
                <c:pt idx="89">
                  <c:v>Dec,23</c:v>
                </c:pt>
                <c:pt idx="90">
                  <c:v>Jan,24</c:v>
                </c:pt>
                <c:pt idx="91">
                  <c:v>Feb,24</c:v>
                </c:pt>
                <c:pt idx="92">
                  <c:v>Mar,24</c:v>
                </c:pt>
                <c:pt idx="93">
                  <c:v>Apr,24</c:v>
                </c:pt>
              </c:strCache>
            </c:strRef>
          </c:cat>
          <c:val>
            <c:numRef>
              <c:f>Sheet1!$L$62:$L$155</c:f>
              <c:numCache>
                <c:formatCode>"$"#,##0.00</c:formatCode>
                <c:ptCount val="94"/>
                <c:pt idx="0">
                  <c:v>62.836065313130995</c:v>
                </c:pt>
                <c:pt idx="1">
                  <c:v>60.158672114727253</c:v>
                </c:pt>
                <c:pt idx="2">
                  <c:v>61.012448924432007</c:v>
                </c:pt>
                <c:pt idx="3">
                  <c:v>69.615402960395571</c:v>
                </c:pt>
                <c:pt idx="4">
                  <c:v>64.262206464537257</c:v>
                </c:pt>
                <c:pt idx="5">
                  <c:v>70.955689460546608</c:v>
                </c:pt>
                <c:pt idx="6">
                  <c:v>70.426252444472709</c:v>
                </c:pt>
                <c:pt idx="7">
                  <c:v>72.571028824904204</c:v>
                </c:pt>
                <c:pt idx="8">
                  <c:v>68.879278820929457</c:v>
                </c:pt>
                <c:pt idx="9">
                  <c:v>71.117859357362036</c:v>
                </c:pt>
                <c:pt idx="10">
                  <c:v>71.625037760147549</c:v>
                </c:pt>
                <c:pt idx="11">
                  <c:v>63.266928470356298</c:v>
                </c:pt>
                <c:pt idx="12">
                  <c:v>62.109480579359904</c:v>
                </c:pt>
                <c:pt idx="13">
                  <c:v>63.642145094360629</c:v>
                </c:pt>
                <c:pt idx="14">
                  <c:v>61.944130880646142</c:v>
                </c:pt>
                <c:pt idx="15">
                  <c:v>69.814140579041933</c:v>
                </c:pt>
                <c:pt idx="16">
                  <c:v>77.914685915067494</c:v>
                </c:pt>
                <c:pt idx="17">
                  <c:v>79.046695390877147</c:v>
                </c:pt>
                <c:pt idx="18">
                  <c:v>80.619107429607141</c:v>
                </c:pt>
                <c:pt idx="19">
                  <c:v>75.763549930839304</c:v>
                </c:pt>
                <c:pt idx="20">
                  <c:v>79.266101721862725</c:v>
                </c:pt>
                <c:pt idx="21">
                  <c:v>86.331621539978059</c:v>
                </c:pt>
                <c:pt idx="22">
                  <c:v>89.083740082992819</c:v>
                </c:pt>
                <c:pt idx="23">
                  <c:v>86.194890058349358</c:v>
                </c:pt>
                <c:pt idx="24">
                  <c:v>89.681542839881089</c:v>
                </c:pt>
                <c:pt idx="25">
                  <c:v>88.649697123869188</c:v>
                </c:pt>
                <c:pt idx="26">
                  <c:v>88.010556942302486</c:v>
                </c:pt>
                <c:pt idx="27">
                  <c:v>76.203952493759644</c:v>
                </c:pt>
                <c:pt idx="28">
                  <c:v>46.458495635721896</c:v>
                </c:pt>
                <c:pt idx="29">
                  <c:v>25.985341113248644</c:v>
                </c:pt>
                <c:pt idx="30">
                  <c:v>64.901346646103946</c:v>
                </c:pt>
                <c:pt idx="31">
                  <c:v>75.35176558500406</c:v>
                </c:pt>
                <c:pt idx="32">
                  <c:v>79.881393389191857</c:v>
                </c:pt>
                <c:pt idx="33">
                  <c:v>86.075647487161547</c:v>
                </c:pt>
                <c:pt idx="34">
                  <c:v>83.895893285848288</c:v>
                </c:pt>
                <c:pt idx="35">
                  <c:v>72.25304863507003</c:v>
                </c:pt>
                <c:pt idx="36">
                  <c:v>73.098875940028933</c:v>
                </c:pt>
                <c:pt idx="37">
                  <c:v>73.841359683291728</c:v>
                </c:pt>
                <c:pt idx="38">
                  <c:v>79.192966278200871</c:v>
                </c:pt>
                <c:pt idx="39">
                  <c:v>72.469275164157281</c:v>
                </c:pt>
                <c:pt idx="40">
                  <c:v>77.038650492074353</c:v>
                </c:pt>
                <c:pt idx="41">
                  <c:v>75.9988552713166</c:v>
                </c:pt>
                <c:pt idx="42">
                  <c:v>74.588613129402034</c:v>
                </c:pt>
                <c:pt idx="43">
                  <c:v>62.739081355231576</c:v>
                </c:pt>
                <c:pt idx="44">
                  <c:v>38.954163155635406</c:v>
                </c:pt>
                <c:pt idx="45">
                  <c:v>26.796190597325786</c:v>
                </c:pt>
                <c:pt idx="46">
                  <c:v>27.179356726075966</c:v>
                </c:pt>
                <c:pt idx="47">
                  <c:v>58.048873555177515</c:v>
                </c:pt>
                <c:pt idx="48">
                  <c:v>59.093438478782772</c:v>
                </c:pt>
                <c:pt idx="49">
                  <c:v>58.083851376059272</c:v>
                </c:pt>
                <c:pt idx="50">
                  <c:v>54.811835222665628</c:v>
                </c:pt>
                <c:pt idx="51">
                  <c:v>54.711671462867862</c:v>
                </c:pt>
                <c:pt idx="52">
                  <c:v>56.287263303496189</c:v>
                </c:pt>
                <c:pt idx="53">
                  <c:v>61.6786174221346</c:v>
                </c:pt>
                <c:pt idx="54">
                  <c:v>66.139879485508061</c:v>
                </c:pt>
                <c:pt idx="55">
                  <c:v>74.986088366694759</c:v>
                </c:pt>
                <c:pt idx="56">
                  <c:v>80.183474569534312</c:v>
                </c:pt>
                <c:pt idx="57">
                  <c:v>81.266197115919681</c:v>
                </c:pt>
                <c:pt idx="58">
                  <c:v>82.15813154840454</c:v>
                </c:pt>
                <c:pt idx="59">
                  <c:v>89.425568787064577</c:v>
                </c:pt>
                <c:pt idx="60">
                  <c:v>89.672003434186053</c:v>
                </c:pt>
                <c:pt idx="61">
                  <c:v>88.086872187862696</c:v>
                </c:pt>
                <c:pt idx="62">
                  <c:v>92.848625530629448</c:v>
                </c:pt>
                <c:pt idx="63">
                  <c:v>104.99705868324403</c:v>
                </c:pt>
                <c:pt idx="64">
                  <c:v>104.62025215829054</c:v>
                </c:pt>
                <c:pt idx="65">
                  <c:v>95.149212204079689</c:v>
                </c:pt>
                <c:pt idx="66">
                  <c:v>106.94150754408001</c:v>
                </c:pt>
                <c:pt idx="67">
                  <c:v>121.82298042831933</c:v>
                </c:pt>
                <c:pt idx="68">
                  <c:v>143.30095235066855</c:v>
                </c:pt>
                <c:pt idx="69">
                  <c:v>137.5089431928391</c:v>
                </c:pt>
                <c:pt idx="70">
                  <c:v>147.80355183872044</c:v>
                </c:pt>
                <c:pt idx="71">
                  <c:v>153.44293050542953</c:v>
                </c:pt>
                <c:pt idx="72">
                  <c:v>134.3323210963957</c:v>
                </c:pt>
                <c:pt idx="73">
                  <c:v>123.30635801389573</c:v>
                </c:pt>
                <c:pt idx="74">
                  <c:v>118.06445458447939</c:v>
                </c:pt>
                <c:pt idx="75">
                  <c:v>126.32399001542204</c:v>
                </c:pt>
                <c:pt idx="76">
                  <c:v>119.18692465459402</c:v>
                </c:pt>
                <c:pt idx="77">
                  <c:v>110.87969219517623</c:v>
                </c:pt>
                <c:pt idx="78">
                  <c:v>109.43129243048158</c:v>
                </c:pt>
                <c:pt idx="79">
                  <c:v>106.89381051560488</c:v>
                </c:pt>
                <c:pt idx="80">
                  <c:v>106.73800022258614</c:v>
                </c:pt>
                <c:pt idx="81">
                  <c:v>113.95615053182188</c:v>
                </c:pt>
                <c:pt idx="82">
                  <c:v>99.559597437079674</c:v>
                </c:pt>
                <c:pt idx="83">
                  <c:v>97.351225018681333</c:v>
                </c:pt>
                <c:pt idx="84">
                  <c:v>102.72350032592971</c:v>
                </c:pt>
                <c:pt idx="85">
                  <c:v>114.10242141914559</c:v>
                </c:pt>
                <c:pt idx="86">
                  <c:v>123.41288137749019</c:v>
                </c:pt>
                <c:pt idx="87">
                  <c:v>118.77196050686042</c:v>
                </c:pt>
                <c:pt idx="88">
                  <c:v>106.32939567864922</c:v>
                </c:pt>
                <c:pt idx="89">
                  <c:v>90.64820261697696</c:v>
                </c:pt>
                <c:pt idx="90">
                  <c:v>93.268359381210558</c:v>
                </c:pt>
                <c:pt idx="91">
                  <c:v>96.424312765314724</c:v>
                </c:pt>
                <c:pt idx="92">
                  <c:v>104.79514126269933</c:v>
                </c:pt>
                <c:pt idx="93">
                  <c:v>116.83705105171948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85-4816-8D39-EFF90618107D}"/>
            </c:ext>
          </c:extLst>
        </c:ser>
        <c:ser>
          <c:idx val="2"/>
          <c:order val="2"/>
          <c:tx>
            <c:v>Rodney ($Cdn/Bbl)</c:v>
          </c:tx>
          <c:cat>
            <c:strRef>
              <c:f>Sheet1!$A$62:$A$155</c:f>
              <c:strCache>
                <c:ptCount val="94"/>
                <c:pt idx="0">
                  <c:v>Jul,16</c:v>
                </c:pt>
                <c:pt idx="1">
                  <c:v>Aug,16</c:v>
                </c:pt>
                <c:pt idx="2">
                  <c:v>Sep,16</c:v>
                </c:pt>
                <c:pt idx="3">
                  <c:v>Oct,16</c:v>
                </c:pt>
                <c:pt idx="4">
                  <c:v>Nov,16</c:v>
                </c:pt>
                <c:pt idx="5">
                  <c:v>Dec,16</c:v>
                </c:pt>
                <c:pt idx="6">
                  <c:v>Jan,17</c:v>
                </c:pt>
                <c:pt idx="7">
                  <c:v>Feb,17</c:v>
                </c:pt>
                <c:pt idx="8">
                  <c:v>Mar,17</c:v>
                </c:pt>
                <c:pt idx="9">
                  <c:v>Apr,17</c:v>
                </c:pt>
                <c:pt idx="10">
                  <c:v>May,17</c:v>
                </c:pt>
                <c:pt idx="11">
                  <c:v>Jun,17</c:v>
                </c:pt>
                <c:pt idx="12">
                  <c:v>Jul,17</c:v>
                </c:pt>
                <c:pt idx="13">
                  <c:v>Aug,17</c:v>
                </c:pt>
                <c:pt idx="14">
                  <c:v>Sep,17</c:v>
                </c:pt>
                <c:pt idx="15">
                  <c:v>Oct,17</c:v>
                </c:pt>
                <c:pt idx="16">
                  <c:v>Nov,17</c:v>
                </c:pt>
                <c:pt idx="17">
                  <c:v>Dec,17</c:v>
                </c:pt>
                <c:pt idx="18">
                  <c:v>Jan,18</c:v>
                </c:pt>
                <c:pt idx="19">
                  <c:v>Feb,18</c:v>
                </c:pt>
                <c:pt idx="20">
                  <c:v>Mar,18</c:v>
                </c:pt>
                <c:pt idx="21">
                  <c:v>Apr,18</c:v>
                </c:pt>
                <c:pt idx="22">
                  <c:v>May,18</c:v>
                </c:pt>
                <c:pt idx="23">
                  <c:v>Jun,18</c:v>
                </c:pt>
                <c:pt idx="24">
                  <c:v>Jul,18</c:v>
                </c:pt>
                <c:pt idx="25">
                  <c:v>Aug,18</c:v>
                </c:pt>
                <c:pt idx="26">
                  <c:v>Sep,18</c:v>
                </c:pt>
                <c:pt idx="27">
                  <c:v>Oct,18</c:v>
                </c:pt>
                <c:pt idx="28">
                  <c:v>Nov,18</c:v>
                </c:pt>
                <c:pt idx="29">
                  <c:v>Dec,18</c:v>
                </c:pt>
                <c:pt idx="30">
                  <c:v>Jan,19</c:v>
                </c:pt>
                <c:pt idx="31">
                  <c:v>Feb,19</c:v>
                </c:pt>
                <c:pt idx="32">
                  <c:v>Mar,19</c:v>
                </c:pt>
                <c:pt idx="33">
                  <c:v>Apr,19</c:v>
                </c:pt>
                <c:pt idx="34">
                  <c:v>May,19</c:v>
                </c:pt>
                <c:pt idx="35">
                  <c:v>Jun,19</c:v>
                </c:pt>
                <c:pt idx="36">
                  <c:v>Jul,19</c:v>
                </c:pt>
                <c:pt idx="37">
                  <c:v>Aug,19</c:v>
                </c:pt>
                <c:pt idx="38">
                  <c:v>Sep,19</c:v>
                </c:pt>
                <c:pt idx="39">
                  <c:v>Oct,19</c:v>
                </c:pt>
                <c:pt idx="40">
                  <c:v>Nov,19</c:v>
                </c:pt>
                <c:pt idx="41">
                  <c:v>Dec,19</c:v>
                </c:pt>
                <c:pt idx="42">
                  <c:v>Jan,20</c:v>
                </c:pt>
                <c:pt idx="43">
                  <c:v>Feb,20</c:v>
                </c:pt>
                <c:pt idx="44">
                  <c:v>Mar,20</c:v>
                </c:pt>
                <c:pt idx="45">
                  <c:v>Apr,20</c:v>
                </c:pt>
                <c:pt idx="46">
                  <c:v>May,20</c:v>
                </c:pt>
                <c:pt idx="47">
                  <c:v>Jun,20</c:v>
                </c:pt>
                <c:pt idx="48">
                  <c:v>Jul,20</c:v>
                </c:pt>
                <c:pt idx="49">
                  <c:v>Aug,20</c:v>
                </c:pt>
                <c:pt idx="50">
                  <c:v>Sep,20</c:v>
                </c:pt>
                <c:pt idx="51">
                  <c:v>Oct,20</c:v>
                </c:pt>
                <c:pt idx="52">
                  <c:v>Nov,20</c:v>
                </c:pt>
                <c:pt idx="53">
                  <c:v>Dec,20</c:v>
                </c:pt>
                <c:pt idx="54">
                  <c:v>Jan,21</c:v>
                </c:pt>
                <c:pt idx="55">
                  <c:v>Feb,21</c:v>
                </c:pt>
                <c:pt idx="56">
                  <c:v>Mar,21</c:v>
                </c:pt>
                <c:pt idx="57">
                  <c:v>Apr,21</c:v>
                </c:pt>
                <c:pt idx="58">
                  <c:v>May,21</c:v>
                </c:pt>
                <c:pt idx="59">
                  <c:v>Jun,21</c:v>
                </c:pt>
                <c:pt idx="60">
                  <c:v>Jul,21</c:v>
                </c:pt>
                <c:pt idx="61">
                  <c:v>Aug,21</c:v>
                </c:pt>
                <c:pt idx="62">
                  <c:v>Sep,21</c:v>
                </c:pt>
                <c:pt idx="63">
                  <c:v>Oct,21</c:v>
                </c:pt>
                <c:pt idx="64">
                  <c:v>Nov,21</c:v>
                </c:pt>
                <c:pt idx="65">
                  <c:v>Dec,21</c:v>
                </c:pt>
                <c:pt idx="66">
                  <c:v>Jan,22</c:v>
                </c:pt>
                <c:pt idx="67">
                  <c:v>Feb,22</c:v>
                </c:pt>
                <c:pt idx="68">
                  <c:v>Mar,22</c:v>
                </c:pt>
                <c:pt idx="69">
                  <c:v>Apr,22</c:v>
                </c:pt>
                <c:pt idx="70">
                  <c:v>May,22</c:v>
                </c:pt>
                <c:pt idx="71">
                  <c:v>Jun,22</c:v>
                </c:pt>
                <c:pt idx="72">
                  <c:v>Jul,22</c:v>
                </c:pt>
                <c:pt idx="73">
                  <c:v>Aug,22</c:v>
                </c:pt>
                <c:pt idx="74">
                  <c:v>Sep,22</c:v>
                </c:pt>
                <c:pt idx="75">
                  <c:v>Oct,22</c:v>
                </c:pt>
                <c:pt idx="76">
                  <c:v>Nov,22</c:v>
                </c:pt>
                <c:pt idx="77">
                  <c:v>Dec,22</c:v>
                </c:pt>
                <c:pt idx="78">
                  <c:v>Jan,23</c:v>
                </c:pt>
                <c:pt idx="79">
                  <c:v>Feb,23</c:v>
                </c:pt>
                <c:pt idx="80">
                  <c:v>Mar,23</c:v>
                </c:pt>
                <c:pt idx="81">
                  <c:v>Apr,23</c:v>
                </c:pt>
                <c:pt idx="82">
                  <c:v>May,23</c:v>
                </c:pt>
                <c:pt idx="83">
                  <c:v>Jun,23</c:v>
                </c:pt>
                <c:pt idx="84">
                  <c:v>Jul,23</c:v>
                </c:pt>
                <c:pt idx="85">
                  <c:v>Aug,23</c:v>
                </c:pt>
                <c:pt idx="86">
                  <c:v>Sep,23</c:v>
                </c:pt>
                <c:pt idx="87">
                  <c:v>Oct,23</c:v>
                </c:pt>
                <c:pt idx="88">
                  <c:v>Nov,23</c:v>
                </c:pt>
                <c:pt idx="89">
                  <c:v>Dec,23</c:v>
                </c:pt>
                <c:pt idx="90">
                  <c:v>Jan,24</c:v>
                </c:pt>
                <c:pt idx="91">
                  <c:v>Feb,24</c:v>
                </c:pt>
                <c:pt idx="92">
                  <c:v>Mar,24</c:v>
                </c:pt>
                <c:pt idx="93">
                  <c:v>Apr,24</c:v>
                </c:pt>
              </c:strCache>
            </c:strRef>
          </c:cat>
          <c:val>
            <c:numRef>
              <c:f>Sheet1!$N$62:$N$155</c:f>
              <c:numCache>
                <c:formatCode>"$"#,##0.00</c:formatCode>
                <c:ptCount val="94"/>
                <c:pt idx="0">
                  <c:v>60.503680620697331</c:v>
                </c:pt>
                <c:pt idx="1">
                  <c:v>58.425680080131009</c:v>
                </c:pt>
                <c:pt idx="2">
                  <c:v>57.905782469752133</c:v>
                </c:pt>
                <c:pt idx="3">
                  <c:v>66.40062324117207</c:v>
                </c:pt>
                <c:pt idx="4">
                  <c:v>61.840787318950028</c:v>
                </c:pt>
                <c:pt idx="5">
                  <c:v>68.278296262142874</c:v>
                </c:pt>
                <c:pt idx="6">
                  <c:v>66.674086204429472</c:v>
                </c:pt>
                <c:pt idx="7">
                  <c:v>69.871377013212083</c:v>
                </c:pt>
                <c:pt idx="8">
                  <c:v>66.254352353848361</c:v>
                </c:pt>
                <c:pt idx="9">
                  <c:v>68.451595465602495</c:v>
                </c:pt>
                <c:pt idx="10">
                  <c:v>68.537450116857713</c:v>
                </c:pt>
                <c:pt idx="11">
                  <c:v>62.036345135698049</c:v>
                </c:pt>
                <c:pt idx="12">
                  <c:v>60.27314498306756</c:v>
                </c:pt>
                <c:pt idx="13">
                  <c:v>62.025215829053849</c:v>
                </c:pt>
                <c:pt idx="14">
                  <c:v>62.001367314816292</c:v>
                </c:pt>
                <c:pt idx="15">
                  <c:v>67.871281619155127</c:v>
                </c:pt>
                <c:pt idx="16">
                  <c:v>77.010032274989271</c:v>
                </c:pt>
                <c:pt idx="17">
                  <c:v>77.194460785093085</c:v>
                </c:pt>
                <c:pt idx="18">
                  <c:v>77.817701957168069</c:v>
                </c:pt>
                <c:pt idx="19">
                  <c:v>73.938343641191153</c:v>
                </c:pt>
                <c:pt idx="20">
                  <c:v>78.768462724772249</c:v>
                </c:pt>
                <c:pt idx="21">
                  <c:v>82.945132518244122</c:v>
                </c:pt>
                <c:pt idx="22">
                  <c:v>87.869055757826288</c:v>
                </c:pt>
                <c:pt idx="23">
                  <c:v>84.574780991144266</c:v>
                </c:pt>
                <c:pt idx="24">
                  <c:v>92.102961985468298</c:v>
                </c:pt>
                <c:pt idx="25">
                  <c:v>86.838799942763572</c:v>
                </c:pt>
                <c:pt idx="26">
                  <c:v>85.875319967566028</c:v>
                </c:pt>
                <c:pt idx="27">
                  <c:v>82.684388762580085</c:v>
                </c:pt>
                <c:pt idx="28">
                  <c:v>60.538658441579088</c:v>
                </c:pt>
                <c:pt idx="29">
                  <c:v>47.148512647662052</c:v>
                </c:pt>
                <c:pt idx="30">
                  <c:v>65.837798305165592</c:v>
                </c:pt>
                <c:pt idx="31">
                  <c:v>74.513887784791009</c:v>
                </c:pt>
                <c:pt idx="32">
                  <c:v>78.822519357044058</c:v>
                </c:pt>
                <c:pt idx="33">
                  <c:v>84.870502567690025</c:v>
                </c:pt>
                <c:pt idx="34">
                  <c:v>82.476111738238714</c:v>
                </c:pt>
                <c:pt idx="35">
                  <c:v>71.950967454727575</c:v>
                </c:pt>
                <c:pt idx="36">
                  <c:v>73.389827813727209</c:v>
                </c:pt>
                <c:pt idx="37">
                  <c:v>72.889009014738377</c:v>
                </c:pt>
                <c:pt idx="38">
                  <c:v>76.375661796270094</c:v>
                </c:pt>
                <c:pt idx="39">
                  <c:v>70.022417603383317</c:v>
                </c:pt>
                <c:pt idx="40">
                  <c:v>75.838275275450343</c:v>
                </c:pt>
                <c:pt idx="41">
                  <c:v>75.164157273001891</c:v>
                </c:pt>
                <c:pt idx="42">
                  <c:v>72.464505461309756</c:v>
                </c:pt>
                <c:pt idx="43">
                  <c:v>61.929821772103594</c:v>
                </c:pt>
                <c:pt idx="44">
                  <c:v>36.346725598995185</c:v>
                </c:pt>
                <c:pt idx="45">
                  <c:v>24.336613828958455</c:v>
                </c:pt>
                <c:pt idx="46">
                  <c:v>24.274607691940794</c:v>
                </c:pt>
                <c:pt idx="47">
                  <c:v>57.915321875447155</c:v>
                </c:pt>
                <c:pt idx="48">
                  <c:v>56.878706456587757</c:v>
                </c:pt>
                <c:pt idx="49">
                  <c:v>57.040876353403185</c:v>
                </c:pt>
                <c:pt idx="50">
                  <c:v>53.729112676280266</c:v>
                </c:pt>
                <c:pt idx="51">
                  <c:v>53.616229708889144</c:v>
                </c:pt>
                <c:pt idx="52">
                  <c:v>54.964465713786026</c:v>
                </c:pt>
                <c:pt idx="53">
                  <c:v>60.858228532362432</c:v>
                </c:pt>
                <c:pt idx="54">
                  <c:v>64.731227244542666</c:v>
                </c:pt>
                <c:pt idx="55">
                  <c:v>73.696678696917175</c:v>
                </c:pt>
                <c:pt idx="56">
                  <c:v>79.151628853522425</c:v>
                </c:pt>
                <c:pt idx="57">
                  <c:v>79.482328250949976</c:v>
                </c:pt>
                <c:pt idx="58">
                  <c:v>80.116698729669153</c:v>
                </c:pt>
                <c:pt idx="59">
                  <c:v>87.999427635658307</c:v>
                </c:pt>
                <c:pt idx="60">
                  <c:v>92.711894049000747</c:v>
                </c:pt>
                <c:pt idx="61">
                  <c:v>86.485841932047634</c:v>
                </c:pt>
                <c:pt idx="62">
                  <c:v>90.943924193522747</c:v>
                </c:pt>
                <c:pt idx="63">
                  <c:v>102.97470467589869</c:v>
                </c:pt>
                <c:pt idx="64">
                  <c:v>102.50568389589328</c:v>
                </c:pt>
                <c:pt idx="65">
                  <c:v>92.279440990826274</c:v>
                </c:pt>
                <c:pt idx="66">
                  <c:v>103.13687457271413</c:v>
                </c:pt>
                <c:pt idx="67">
                  <c:v>119.07722148910123</c:v>
                </c:pt>
                <c:pt idx="68">
                  <c:v>140.3023991605323</c:v>
                </c:pt>
                <c:pt idx="69">
                  <c:v>133.09060845509325</c:v>
                </c:pt>
                <c:pt idx="70">
                  <c:v>145.00532616817972</c:v>
                </c:pt>
                <c:pt idx="71">
                  <c:v>151.00402244940139</c:v>
                </c:pt>
                <c:pt idx="72">
                  <c:v>130.34961921872267</c:v>
                </c:pt>
                <c:pt idx="73">
                  <c:v>119.80698602477065</c:v>
                </c:pt>
                <c:pt idx="74">
                  <c:v>112.18341097349635</c:v>
                </c:pt>
                <c:pt idx="75">
                  <c:v>120.9676137176654</c:v>
                </c:pt>
                <c:pt idx="76">
                  <c:v>114.73202219501725</c:v>
                </c:pt>
                <c:pt idx="77">
                  <c:v>102.64241537752198</c:v>
                </c:pt>
                <c:pt idx="78">
                  <c:v>102.83797319427001</c:v>
                </c:pt>
                <c:pt idx="79">
                  <c:v>100.03179801898341</c:v>
                </c:pt>
                <c:pt idx="80">
                  <c:v>99.505540804807865</c:v>
                </c:pt>
                <c:pt idx="81">
                  <c:v>108.12439385026313</c:v>
                </c:pt>
                <c:pt idx="82">
                  <c:v>98.020573318282274</c:v>
                </c:pt>
                <c:pt idx="83">
                  <c:v>96.231934750465044</c:v>
                </c:pt>
                <c:pt idx="84">
                  <c:v>101.86018411052991</c:v>
                </c:pt>
                <c:pt idx="85">
                  <c:v>112.59837512122995</c:v>
                </c:pt>
                <c:pt idx="86">
                  <c:v>122.80871901680524</c:v>
                </c:pt>
                <c:pt idx="87">
                  <c:v>117.13277262826527</c:v>
                </c:pt>
                <c:pt idx="88">
                  <c:v>105.43428144426602</c:v>
                </c:pt>
                <c:pt idx="89">
                  <c:v>85.97389382641461</c:v>
                </c:pt>
                <c:pt idx="90">
                  <c:v>90.268216290125125</c:v>
                </c:pt>
                <c:pt idx="91">
                  <c:v>94.836001717093026</c:v>
                </c:pt>
                <c:pt idx="92">
                  <c:v>101.33233699540519</c:v>
                </c:pt>
                <c:pt idx="93">
                  <c:v>113.43784282239217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85-4816-8D39-EFF90618107D}"/>
            </c:ext>
          </c:extLst>
        </c:ser>
        <c:ser>
          <c:idx val="3"/>
          <c:order val="3"/>
          <c:tx>
            <c:v>Edmonton Light ($Cdn/Bbl)</c:v>
          </c:tx>
          <c:cat>
            <c:strRef>
              <c:f>Sheet1!$A$62:$A$155</c:f>
              <c:strCache>
                <c:ptCount val="94"/>
                <c:pt idx="0">
                  <c:v>Jul,16</c:v>
                </c:pt>
                <c:pt idx="1">
                  <c:v>Aug,16</c:v>
                </c:pt>
                <c:pt idx="2">
                  <c:v>Sep,16</c:v>
                </c:pt>
                <c:pt idx="3">
                  <c:v>Oct,16</c:v>
                </c:pt>
                <c:pt idx="4">
                  <c:v>Nov,16</c:v>
                </c:pt>
                <c:pt idx="5">
                  <c:v>Dec,16</c:v>
                </c:pt>
                <c:pt idx="6">
                  <c:v>Jan,17</c:v>
                </c:pt>
                <c:pt idx="7">
                  <c:v>Feb,17</c:v>
                </c:pt>
                <c:pt idx="8">
                  <c:v>Mar,17</c:v>
                </c:pt>
                <c:pt idx="9">
                  <c:v>Apr,17</c:v>
                </c:pt>
                <c:pt idx="10">
                  <c:v>May,17</c:v>
                </c:pt>
                <c:pt idx="11">
                  <c:v>Jun,17</c:v>
                </c:pt>
                <c:pt idx="12">
                  <c:v>Jul,17</c:v>
                </c:pt>
                <c:pt idx="13">
                  <c:v>Aug,17</c:v>
                </c:pt>
                <c:pt idx="14">
                  <c:v>Sep,17</c:v>
                </c:pt>
                <c:pt idx="15">
                  <c:v>Oct,17</c:v>
                </c:pt>
                <c:pt idx="16">
                  <c:v>Nov,17</c:v>
                </c:pt>
                <c:pt idx="17">
                  <c:v>Dec,17</c:v>
                </c:pt>
                <c:pt idx="18">
                  <c:v>Jan,18</c:v>
                </c:pt>
                <c:pt idx="19">
                  <c:v>Feb,18</c:v>
                </c:pt>
                <c:pt idx="20">
                  <c:v>Mar,18</c:v>
                </c:pt>
                <c:pt idx="21">
                  <c:v>Apr,18</c:v>
                </c:pt>
                <c:pt idx="22">
                  <c:v>May,18</c:v>
                </c:pt>
                <c:pt idx="23">
                  <c:v>Jun,18</c:v>
                </c:pt>
                <c:pt idx="24">
                  <c:v>Jul,18</c:v>
                </c:pt>
                <c:pt idx="25">
                  <c:v>Aug,18</c:v>
                </c:pt>
                <c:pt idx="26">
                  <c:v>Sep,18</c:v>
                </c:pt>
                <c:pt idx="27">
                  <c:v>Oct,18</c:v>
                </c:pt>
                <c:pt idx="28">
                  <c:v>Nov,18</c:v>
                </c:pt>
                <c:pt idx="29">
                  <c:v>Dec,18</c:v>
                </c:pt>
                <c:pt idx="30">
                  <c:v>Jan,19</c:v>
                </c:pt>
                <c:pt idx="31">
                  <c:v>Feb,19</c:v>
                </c:pt>
                <c:pt idx="32">
                  <c:v>Mar,19</c:v>
                </c:pt>
                <c:pt idx="33">
                  <c:v>Apr,19</c:v>
                </c:pt>
                <c:pt idx="34">
                  <c:v>May,19</c:v>
                </c:pt>
                <c:pt idx="35">
                  <c:v>Jun,19</c:v>
                </c:pt>
                <c:pt idx="36">
                  <c:v>Jul,19</c:v>
                </c:pt>
                <c:pt idx="37">
                  <c:v>Aug,19</c:v>
                </c:pt>
                <c:pt idx="38">
                  <c:v>Sep,19</c:v>
                </c:pt>
                <c:pt idx="39">
                  <c:v>Oct,19</c:v>
                </c:pt>
                <c:pt idx="40">
                  <c:v>Nov,19</c:v>
                </c:pt>
                <c:pt idx="41">
                  <c:v>Dec,19</c:v>
                </c:pt>
                <c:pt idx="42">
                  <c:v>Jan,20</c:v>
                </c:pt>
                <c:pt idx="43">
                  <c:v>Feb,20</c:v>
                </c:pt>
                <c:pt idx="44">
                  <c:v>Mar,20</c:v>
                </c:pt>
                <c:pt idx="45">
                  <c:v>Apr,20</c:v>
                </c:pt>
                <c:pt idx="46">
                  <c:v>May,20</c:v>
                </c:pt>
                <c:pt idx="47">
                  <c:v>Jun,20</c:v>
                </c:pt>
                <c:pt idx="48">
                  <c:v>Jul,20</c:v>
                </c:pt>
                <c:pt idx="49">
                  <c:v>Aug,20</c:v>
                </c:pt>
                <c:pt idx="50">
                  <c:v>Sep,20</c:v>
                </c:pt>
                <c:pt idx="51">
                  <c:v>Oct,20</c:v>
                </c:pt>
                <c:pt idx="52">
                  <c:v>Nov,20</c:v>
                </c:pt>
                <c:pt idx="53">
                  <c:v>Dec,20</c:v>
                </c:pt>
                <c:pt idx="54">
                  <c:v>Jan,21</c:v>
                </c:pt>
                <c:pt idx="55">
                  <c:v>Feb,21</c:v>
                </c:pt>
                <c:pt idx="56">
                  <c:v>Mar,21</c:v>
                </c:pt>
                <c:pt idx="57">
                  <c:v>Apr,21</c:v>
                </c:pt>
                <c:pt idx="58">
                  <c:v>May,21</c:v>
                </c:pt>
                <c:pt idx="59">
                  <c:v>Jun,21</c:v>
                </c:pt>
                <c:pt idx="60">
                  <c:v>Jul,21</c:v>
                </c:pt>
                <c:pt idx="61">
                  <c:v>Aug,21</c:v>
                </c:pt>
                <c:pt idx="62">
                  <c:v>Sep,21</c:v>
                </c:pt>
                <c:pt idx="63">
                  <c:v>Oct,21</c:v>
                </c:pt>
                <c:pt idx="64">
                  <c:v>Nov,21</c:v>
                </c:pt>
                <c:pt idx="65">
                  <c:v>Dec,21</c:v>
                </c:pt>
                <c:pt idx="66">
                  <c:v>Jan,22</c:v>
                </c:pt>
                <c:pt idx="67">
                  <c:v>Feb,22</c:v>
                </c:pt>
                <c:pt idx="68">
                  <c:v>Mar,22</c:v>
                </c:pt>
                <c:pt idx="69">
                  <c:v>Apr,22</c:v>
                </c:pt>
                <c:pt idx="70">
                  <c:v>May,22</c:v>
                </c:pt>
                <c:pt idx="71">
                  <c:v>Jun,22</c:v>
                </c:pt>
                <c:pt idx="72">
                  <c:v>Jul,22</c:v>
                </c:pt>
                <c:pt idx="73">
                  <c:v>Aug,22</c:v>
                </c:pt>
                <c:pt idx="74">
                  <c:v>Sep,22</c:v>
                </c:pt>
                <c:pt idx="75">
                  <c:v>Oct,22</c:v>
                </c:pt>
                <c:pt idx="76">
                  <c:v>Nov,22</c:v>
                </c:pt>
                <c:pt idx="77">
                  <c:v>Dec,22</c:v>
                </c:pt>
                <c:pt idx="78">
                  <c:v>Jan,23</c:v>
                </c:pt>
                <c:pt idx="79">
                  <c:v>Feb,23</c:v>
                </c:pt>
                <c:pt idx="80">
                  <c:v>Mar,23</c:v>
                </c:pt>
                <c:pt idx="81">
                  <c:v>Apr,23</c:v>
                </c:pt>
                <c:pt idx="82">
                  <c:v>May,23</c:v>
                </c:pt>
                <c:pt idx="83">
                  <c:v>Jun,23</c:v>
                </c:pt>
                <c:pt idx="84">
                  <c:v>Jul,23</c:v>
                </c:pt>
                <c:pt idx="85">
                  <c:v>Aug,23</c:v>
                </c:pt>
                <c:pt idx="86">
                  <c:v>Sep,23</c:v>
                </c:pt>
                <c:pt idx="87">
                  <c:v>Oct,23</c:v>
                </c:pt>
                <c:pt idx="88">
                  <c:v>Nov,23</c:v>
                </c:pt>
                <c:pt idx="89">
                  <c:v>Dec,23</c:v>
                </c:pt>
                <c:pt idx="90">
                  <c:v>Jan,24</c:v>
                </c:pt>
                <c:pt idx="91">
                  <c:v>Feb,24</c:v>
                </c:pt>
                <c:pt idx="92">
                  <c:v>Mar,24</c:v>
                </c:pt>
                <c:pt idx="93">
                  <c:v>Apr,24</c:v>
                </c:pt>
              </c:strCache>
            </c:strRef>
          </c:cat>
          <c:val>
            <c:numRef>
              <c:f>Sheet1!$B$62:$B$155</c:f>
              <c:numCache>
                <c:formatCode>"$"#,##0.00</c:formatCode>
                <c:ptCount val="94"/>
                <c:pt idx="0">
                  <c:v>58.2</c:v>
                </c:pt>
                <c:pt idx="1">
                  <c:v>57.54</c:v>
                </c:pt>
                <c:pt idx="2">
                  <c:v>60.340476190476181</c:v>
                </c:pt>
                <c:pt idx="3">
                  <c:v>65.655263157894737</c:v>
                </c:pt>
                <c:pt idx="4">
                  <c:v>59.251818181818187</c:v>
                </c:pt>
                <c:pt idx="5">
                  <c:v>67.882999999999981</c:v>
                </c:pt>
                <c:pt idx="6">
                  <c:v>70.262857142857143</c:v>
                </c:pt>
                <c:pt idx="7">
                  <c:v>71.135789473684213</c:v>
                </c:pt>
                <c:pt idx="8">
                  <c:v>69.358260869565214</c:v>
                </c:pt>
                <c:pt idx="9">
                  <c:v>72.914000000000016</c:v>
                </c:pt>
                <c:pt idx="10">
                  <c:v>66.034090909090892</c:v>
                </c:pt>
                <c:pt idx="11">
                  <c:v>60.492272727272727</c:v>
                </c:pt>
                <c:pt idx="12">
                  <c:v>60.781000000000006</c:v>
                </c:pt>
                <c:pt idx="13">
                  <c:v>61.991739130434773</c:v>
                </c:pt>
                <c:pt idx="14">
                  <c:v>64.050000000000011</c:v>
                </c:pt>
                <c:pt idx="15">
                  <c:v>69.218095238095231</c:v>
                </c:pt>
                <c:pt idx="16">
                  <c:v>74.994761904761916</c:v>
                </c:pt>
                <c:pt idx="17">
                  <c:v>71.703750000000014</c:v>
                </c:pt>
                <c:pt idx="18">
                  <c:v>75.84</c:v>
                </c:pt>
                <c:pt idx="19">
                  <c:v>77.982631578947363</c:v>
                </c:pt>
                <c:pt idx="20">
                  <c:v>83.737499999999997</c:v>
                </c:pt>
                <c:pt idx="21">
                  <c:v>81.827142857142832</c:v>
                </c:pt>
                <c:pt idx="22">
                  <c:v>86.469090909090923</c:v>
                </c:pt>
                <c:pt idx="23">
                  <c:v>83.024761904761917</c:v>
                </c:pt>
                <c:pt idx="24">
                  <c:v>91.690000000000012</c:v>
                </c:pt>
                <c:pt idx="25">
                  <c:v>86.04</c:v>
                </c:pt>
                <c:pt idx="26">
                  <c:v>76.583684210526329</c:v>
                </c:pt>
                <c:pt idx="27">
                  <c:v>60.231363636363632</c:v>
                </c:pt>
                <c:pt idx="28">
                  <c:v>38.179999999999993</c:v>
                </c:pt>
                <c:pt idx="29">
                  <c:v>58.19</c:v>
                </c:pt>
                <c:pt idx="30">
                  <c:v>68.23666666666665</c:v>
                </c:pt>
                <c:pt idx="31">
                  <c:v>72.03</c:v>
                </c:pt>
                <c:pt idx="32">
                  <c:v>75.88300000000001</c:v>
                </c:pt>
                <c:pt idx="33">
                  <c:v>86.202380952380949</c:v>
                </c:pt>
                <c:pt idx="34">
                  <c:v>81.87772727272727</c:v>
                </c:pt>
                <c:pt idx="35">
                  <c:v>72.094499999999996</c:v>
                </c:pt>
                <c:pt idx="36">
                  <c:v>76.927619047619061</c:v>
                </c:pt>
                <c:pt idx="37">
                  <c:v>74.50772727272728</c:v>
                </c:pt>
                <c:pt idx="38">
                  <c:v>76.28</c:v>
                </c:pt>
                <c:pt idx="39">
                  <c:v>70.606956521739136</c:v>
                </c:pt>
                <c:pt idx="40">
                  <c:v>72.429000000000002</c:v>
                </c:pt>
                <c:pt idx="41">
                  <c:v>76.734761904761896</c:v>
                </c:pt>
                <c:pt idx="42">
                  <c:v>70.37</c:v>
                </c:pt>
                <c:pt idx="43">
                  <c:v>64.837894736842102</c:v>
                </c:pt>
                <c:pt idx="44">
                  <c:v>38.975909090909099</c:v>
                </c:pt>
                <c:pt idx="45">
                  <c:v>14.393333333333336</c:v>
                </c:pt>
                <c:pt idx="46">
                  <c:v>39.090999999999994</c:v>
                </c:pt>
                <c:pt idx="47">
                  <c:v>47.667727272727262</c:v>
                </c:pt>
                <c:pt idx="48">
                  <c:v>52.081818181818178</c:v>
                </c:pt>
                <c:pt idx="49">
                  <c:v>52.674761904761908</c:v>
                </c:pt>
                <c:pt idx="50">
                  <c:v>49.964285714285715</c:v>
                </c:pt>
                <c:pt idx="51">
                  <c:v>47.780909090909091</c:v>
                </c:pt>
                <c:pt idx="52">
                  <c:v>48.848947368421044</c:v>
                </c:pt>
                <c:pt idx="53">
                  <c:v>54.909545454545452</c:v>
                </c:pt>
                <c:pt idx="54">
                  <c:v>62.48105263157894</c:v>
                </c:pt>
                <c:pt idx="55">
                  <c:v>73.694736842105272</c:v>
                </c:pt>
                <c:pt idx="56">
                  <c:v>81.290869565217378</c:v>
                </c:pt>
                <c:pt idx="57">
                  <c:v>76.657142857142873</c:v>
                </c:pt>
                <c:pt idx="58">
                  <c:v>77.794000000000011</c:v>
                </c:pt>
                <c:pt idx="59">
                  <c:v>84.872272727272744</c:v>
                </c:pt>
                <c:pt idx="60">
                  <c:v>89.013333333333335</c:v>
                </c:pt>
                <c:pt idx="61">
                  <c:v>83.423636363636376</c:v>
                </c:pt>
                <c:pt idx="62">
                  <c:v>88.761904761904759</c:v>
                </c:pt>
                <c:pt idx="63">
                  <c:v>99.387142857142834</c:v>
                </c:pt>
                <c:pt idx="64">
                  <c:v>95.569500000000005</c:v>
                </c:pt>
                <c:pt idx="65">
                  <c:v>86.146190476190498</c:v>
                </c:pt>
                <c:pt idx="66">
                  <c:v>104.34100000000001</c:v>
                </c:pt>
                <c:pt idx="67">
                  <c:v>118.03368421052633</c:v>
                </c:pt>
                <c:pt idx="68">
                  <c:v>144.22086956521741</c:v>
                </c:pt>
                <c:pt idx="69">
                  <c:v>135.7235</c:v>
                </c:pt>
                <c:pt idx="70">
                  <c:v>148.64523809523811</c:v>
                </c:pt>
                <c:pt idx="71">
                  <c:v>155.62999999999997</c:v>
                </c:pt>
                <c:pt idx="72">
                  <c:v>142.82650000000001</c:v>
                </c:pt>
                <c:pt idx="73">
                  <c:v>125.97652173913048</c:v>
                </c:pt>
                <c:pt idx="74">
                  <c:v>120.4090476190476</c:v>
                </c:pt>
                <c:pt idx="75">
                  <c:v>122.03142857142856</c:v>
                </c:pt>
                <c:pt idx="76">
                  <c:v>118.72099999999996</c:v>
                </c:pt>
                <c:pt idx="77">
                  <c:v>105.98095238095236</c:v>
                </c:pt>
                <c:pt idx="78">
                  <c:v>107.5605</c:v>
                </c:pt>
                <c:pt idx="79">
                  <c:v>109.01947368421054</c:v>
                </c:pt>
                <c:pt idx="80">
                  <c:v>105.57434782608696</c:v>
                </c:pt>
                <c:pt idx="81">
                  <c:v>111.39368421052632</c:v>
                </c:pt>
                <c:pt idx="82">
                  <c:v>100.48636363636365</c:v>
                </c:pt>
                <c:pt idx="83">
                  <c:v>97.439523809523806</c:v>
                </c:pt>
                <c:pt idx="84">
                  <c:v>105.79526315789474</c:v>
                </c:pt>
                <c:pt idx="85">
                  <c:v>113.40260869565216</c:v>
                </c:pt>
                <c:pt idx="86">
                  <c:v>131.94755000000001</c:v>
                </c:pt>
                <c:pt idx="87">
                  <c:v>123.60854545454545</c:v>
                </c:pt>
                <c:pt idx="88">
                  <c:v>114.13719999999998</c:v>
                </c:pt>
                <c:pt idx="89">
                  <c:v>86.272842105263138</c:v>
                </c:pt>
                <c:pt idx="90">
                  <c:v>88.851238095238088</c:v>
                </c:pt>
                <c:pt idx="91">
                  <c:v>97.825100000000006</c:v>
                </c:pt>
                <c:pt idx="92">
                  <c:v>110.86074999999998</c:v>
                </c:pt>
                <c:pt idx="93">
                  <c:v>118.82822727272729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85-4816-8D39-EFF90618107D}"/>
            </c:ext>
          </c:extLst>
        </c:ser>
        <c:ser>
          <c:idx val="4"/>
          <c:order val="4"/>
          <c:tx>
            <c:v>Amer Ref Gr</c:v>
          </c:tx>
          <c:cat>
            <c:strRef>
              <c:f>Sheet1!$A$62:$A$155</c:f>
              <c:strCache>
                <c:ptCount val="94"/>
                <c:pt idx="0">
                  <c:v>Jul,16</c:v>
                </c:pt>
                <c:pt idx="1">
                  <c:v>Aug,16</c:v>
                </c:pt>
                <c:pt idx="2">
                  <c:v>Sep,16</c:v>
                </c:pt>
                <c:pt idx="3">
                  <c:v>Oct,16</c:v>
                </c:pt>
                <c:pt idx="4">
                  <c:v>Nov,16</c:v>
                </c:pt>
                <c:pt idx="5">
                  <c:v>Dec,16</c:v>
                </c:pt>
                <c:pt idx="6">
                  <c:v>Jan,17</c:v>
                </c:pt>
                <c:pt idx="7">
                  <c:v>Feb,17</c:v>
                </c:pt>
                <c:pt idx="8">
                  <c:v>Mar,17</c:v>
                </c:pt>
                <c:pt idx="9">
                  <c:v>Apr,17</c:v>
                </c:pt>
                <c:pt idx="10">
                  <c:v>May,17</c:v>
                </c:pt>
                <c:pt idx="11">
                  <c:v>Jun,17</c:v>
                </c:pt>
                <c:pt idx="12">
                  <c:v>Jul,17</c:v>
                </c:pt>
                <c:pt idx="13">
                  <c:v>Aug,17</c:v>
                </c:pt>
                <c:pt idx="14">
                  <c:v>Sep,17</c:v>
                </c:pt>
                <c:pt idx="15">
                  <c:v>Oct,17</c:v>
                </c:pt>
                <c:pt idx="16">
                  <c:v>Nov,17</c:v>
                </c:pt>
                <c:pt idx="17">
                  <c:v>Dec,17</c:v>
                </c:pt>
                <c:pt idx="18">
                  <c:v>Jan,18</c:v>
                </c:pt>
                <c:pt idx="19">
                  <c:v>Feb,18</c:v>
                </c:pt>
                <c:pt idx="20">
                  <c:v>Mar,18</c:v>
                </c:pt>
                <c:pt idx="21">
                  <c:v>Apr,18</c:v>
                </c:pt>
                <c:pt idx="22">
                  <c:v>May,18</c:v>
                </c:pt>
                <c:pt idx="23">
                  <c:v>Jun,18</c:v>
                </c:pt>
                <c:pt idx="24">
                  <c:v>Jul,18</c:v>
                </c:pt>
                <c:pt idx="25">
                  <c:v>Aug,18</c:v>
                </c:pt>
                <c:pt idx="26">
                  <c:v>Sep,18</c:v>
                </c:pt>
                <c:pt idx="27">
                  <c:v>Oct,18</c:v>
                </c:pt>
                <c:pt idx="28">
                  <c:v>Nov,18</c:v>
                </c:pt>
                <c:pt idx="29">
                  <c:v>Dec,18</c:v>
                </c:pt>
                <c:pt idx="30">
                  <c:v>Jan,19</c:v>
                </c:pt>
                <c:pt idx="31">
                  <c:v>Feb,19</c:v>
                </c:pt>
                <c:pt idx="32">
                  <c:v>Mar,19</c:v>
                </c:pt>
                <c:pt idx="33">
                  <c:v>Apr,19</c:v>
                </c:pt>
                <c:pt idx="34">
                  <c:v>May,19</c:v>
                </c:pt>
                <c:pt idx="35">
                  <c:v>Jun,19</c:v>
                </c:pt>
                <c:pt idx="36">
                  <c:v>Jul,19</c:v>
                </c:pt>
                <c:pt idx="37">
                  <c:v>Aug,19</c:v>
                </c:pt>
                <c:pt idx="38">
                  <c:v>Sep,19</c:v>
                </c:pt>
                <c:pt idx="39">
                  <c:v>Oct,19</c:v>
                </c:pt>
                <c:pt idx="40">
                  <c:v>Nov,19</c:v>
                </c:pt>
                <c:pt idx="41">
                  <c:v>Dec,19</c:v>
                </c:pt>
                <c:pt idx="42">
                  <c:v>Jan,20</c:v>
                </c:pt>
                <c:pt idx="43">
                  <c:v>Feb,20</c:v>
                </c:pt>
                <c:pt idx="44">
                  <c:v>Mar,20</c:v>
                </c:pt>
                <c:pt idx="45">
                  <c:v>Apr,20</c:v>
                </c:pt>
                <c:pt idx="46">
                  <c:v>May,20</c:v>
                </c:pt>
                <c:pt idx="47">
                  <c:v>Jun,20</c:v>
                </c:pt>
                <c:pt idx="48">
                  <c:v>Jul,20</c:v>
                </c:pt>
                <c:pt idx="49">
                  <c:v>Aug,20</c:v>
                </c:pt>
                <c:pt idx="50">
                  <c:v>Sep,20</c:v>
                </c:pt>
                <c:pt idx="51">
                  <c:v>Oct,20</c:v>
                </c:pt>
                <c:pt idx="52">
                  <c:v>Nov,20</c:v>
                </c:pt>
                <c:pt idx="53">
                  <c:v>Dec,20</c:v>
                </c:pt>
                <c:pt idx="54">
                  <c:v>Jan,21</c:v>
                </c:pt>
                <c:pt idx="55">
                  <c:v>Feb,21</c:v>
                </c:pt>
                <c:pt idx="56">
                  <c:v>Mar,21</c:v>
                </c:pt>
                <c:pt idx="57">
                  <c:v>Apr,21</c:v>
                </c:pt>
                <c:pt idx="58">
                  <c:v>May,21</c:v>
                </c:pt>
                <c:pt idx="59">
                  <c:v>Jun,21</c:v>
                </c:pt>
                <c:pt idx="60">
                  <c:v>Jul,21</c:v>
                </c:pt>
                <c:pt idx="61">
                  <c:v>Aug,21</c:v>
                </c:pt>
                <c:pt idx="62">
                  <c:v>Sep,21</c:v>
                </c:pt>
                <c:pt idx="63">
                  <c:v>Oct,21</c:v>
                </c:pt>
                <c:pt idx="64">
                  <c:v>Nov,21</c:v>
                </c:pt>
                <c:pt idx="65">
                  <c:v>Dec,21</c:v>
                </c:pt>
                <c:pt idx="66">
                  <c:v>Jan,22</c:v>
                </c:pt>
                <c:pt idx="67">
                  <c:v>Feb,22</c:v>
                </c:pt>
                <c:pt idx="68">
                  <c:v>Mar,22</c:v>
                </c:pt>
                <c:pt idx="69">
                  <c:v>Apr,22</c:v>
                </c:pt>
                <c:pt idx="70">
                  <c:v>May,22</c:v>
                </c:pt>
                <c:pt idx="71">
                  <c:v>Jun,22</c:v>
                </c:pt>
                <c:pt idx="72">
                  <c:v>Jul,22</c:v>
                </c:pt>
                <c:pt idx="73">
                  <c:v>Aug,22</c:v>
                </c:pt>
                <c:pt idx="74">
                  <c:v>Sep,22</c:v>
                </c:pt>
                <c:pt idx="75">
                  <c:v>Oct,22</c:v>
                </c:pt>
                <c:pt idx="76">
                  <c:v>Nov,22</c:v>
                </c:pt>
                <c:pt idx="77">
                  <c:v>Dec,22</c:v>
                </c:pt>
                <c:pt idx="78">
                  <c:v>Jan,23</c:v>
                </c:pt>
                <c:pt idx="79">
                  <c:v>Feb,23</c:v>
                </c:pt>
                <c:pt idx="80">
                  <c:v>Mar,23</c:v>
                </c:pt>
                <c:pt idx="81">
                  <c:v>Apr,23</c:v>
                </c:pt>
                <c:pt idx="82">
                  <c:v>May,23</c:v>
                </c:pt>
                <c:pt idx="83">
                  <c:v>Jun,23</c:v>
                </c:pt>
                <c:pt idx="84">
                  <c:v>Jul,23</c:v>
                </c:pt>
                <c:pt idx="85">
                  <c:v>Aug,23</c:v>
                </c:pt>
                <c:pt idx="86">
                  <c:v>Sep,23</c:v>
                </c:pt>
                <c:pt idx="87">
                  <c:v>Oct,23</c:v>
                </c:pt>
                <c:pt idx="88">
                  <c:v>Nov,23</c:v>
                </c:pt>
                <c:pt idx="89">
                  <c:v>Dec,23</c:v>
                </c:pt>
                <c:pt idx="90">
                  <c:v>Jan,24</c:v>
                </c:pt>
                <c:pt idx="91">
                  <c:v>Feb,24</c:v>
                </c:pt>
                <c:pt idx="92">
                  <c:v>Mar,24</c:v>
                </c:pt>
                <c:pt idx="93">
                  <c:v>Apr,24</c:v>
                </c:pt>
              </c:strCache>
            </c:strRef>
          </c:cat>
          <c:val>
            <c:numRef>
              <c:f>Sheet1!$P$62:$P$155</c:f>
              <c:numCache>
                <c:formatCode>"$"#,##0.000</c:formatCode>
                <c:ptCount val="94"/>
                <c:pt idx="0">
                  <c:v>57.45730673966888</c:v>
                </c:pt>
                <c:pt idx="1">
                  <c:v>57.205251527362542</c:v>
                </c:pt>
                <c:pt idx="2">
                  <c:v>57.582302506708565</c:v>
                </c:pt>
                <c:pt idx="3">
                  <c:v>64.674786491907511</c:v>
                </c:pt>
                <c:pt idx="4">
                  <c:v>59.938030544707843</c:v>
                </c:pt>
                <c:pt idx="5">
                  <c:v>68.376140998252083</c:v>
                </c:pt>
                <c:pt idx="6">
                  <c:v>68.354629424015258</c:v>
                </c:pt>
                <c:pt idx="7">
                  <c:v>68.898197861558529</c:v>
                </c:pt>
                <c:pt idx="8">
                  <c:v>65.124244102644553</c:v>
                </c:pt>
                <c:pt idx="9">
                  <c:v>67.368883037085823</c:v>
                </c:pt>
                <c:pt idx="10">
                  <c:v>64.688886973593583</c:v>
                </c:pt>
                <c:pt idx="11">
                  <c:v>58.78789343516123</c:v>
                </c:pt>
                <c:pt idx="12">
                  <c:v>57.918838825127168</c:v>
                </c:pt>
                <c:pt idx="13">
                  <c:v>59.531093986134316</c:v>
                </c:pt>
                <c:pt idx="14">
                  <c:v>59.709775043463509</c:v>
                </c:pt>
                <c:pt idx="15">
                  <c:v>63.71245257076913</c:v>
                </c:pt>
                <c:pt idx="16">
                  <c:v>71.17671002351112</c:v>
                </c:pt>
                <c:pt idx="17">
                  <c:v>72.868754950554731</c:v>
                </c:pt>
                <c:pt idx="18">
                  <c:v>77.859784518375307</c:v>
                </c:pt>
                <c:pt idx="19">
                  <c:v>77.073535545296352</c:v>
                </c:pt>
                <c:pt idx="20">
                  <c:v>80.069837945789345</c:v>
                </c:pt>
                <c:pt idx="21">
                  <c:v>83.15167974006765</c:v>
                </c:pt>
                <c:pt idx="22">
                  <c:v>88.660881418045904</c:v>
                </c:pt>
                <c:pt idx="23">
                  <c:v>86.997368470399977</c:v>
                </c:pt>
                <c:pt idx="24">
                  <c:v>91.852969060073775</c:v>
                </c:pt>
                <c:pt idx="25">
                  <c:v>87.10981370326283</c:v>
                </c:pt>
                <c:pt idx="26">
                  <c:v>90.048052275314305</c:v>
                </c:pt>
                <c:pt idx="27">
                  <c:v>90.735722925061253</c:v>
                </c:pt>
                <c:pt idx="28">
                  <c:v>73.747934396843888</c:v>
                </c:pt>
                <c:pt idx="29">
                  <c:v>64.333271478478437</c:v>
                </c:pt>
                <c:pt idx="30">
                  <c:v>67.175593604489393</c:v>
                </c:pt>
                <c:pt idx="31">
                  <c:v>71.415363133762298</c:v>
                </c:pt>
                <c:pt idx="32">
                  <c:v>76.310197498574198</c:v>
                </c:pt>
                <c:pt idx="33">
                  <c:v>84.000235102887913</c:v>
                </c:pt>
                <c:pt idx="34">
                  <c:v>80.624941237240691</c:v>
                </c:pt>
                <c:pt idx="35">
                  <c:v>71.543052456345421</c:v>
                </c:pt>
                <c:pt idx="36">
                  <c:v>74.025337799348335</c:v>
                </c:pt>
                <c:pt idx="37">
                  <c:v>71.458379308694049</c:v>
                </c:pt>
                <c:pt idx="38">
                  <c:v>73.258771929824562</c:v>
                </c:pt>
                <c:pt idx="39">
                  <c:v>70.085230053061323</c:v>
                </c:pt>
                <c:pt idx="40">
                  <c:v>74.246703144305187</c:v>
                </c:pt>
                <c:pt idx="41">
                  <c:v>77.474105765430906</c:v>
                </c:pt>
                <c:pt idx="42">
                  <c:v>74.533225727563547</c:v>
                </c:pt>
                <c:pt idx="43">
                  <c:v>70.220726761731214</c:v>
                </c:pt>
                <c:pt idx="44">
                  <c:v>41.260126880794012</c:v>
                </c:pt>
                <c:pt idx="45">
                  <c:v>30.446083596768531</c:v>
                </c:pt>
                <c:pt idx="46">
                  <c:v>39.303004167322101</c:v>
                </c:pt>
                <c:pt idx="47">
                  <c:v>50.647312993904748</c:v>
                </c:pt>
                <c:pt idx="48">
                  <c:v>53.683799500715523</c:v>
                </c:pt>
                <c:pt idx="49">
                  <c:v>54.484339789471214</c:v>
                </c:pt>
                <c:pt idx="50">
                  <c:v>51.074773188462402</c:v>
                </c:pt>
                <c:pt idx="51">
                  <c:v>50.788955112687532</c:v>
                </c:pt>
                <c:pt idx="52">
                  <c:v>52.64596041329515</c:v>
                </c:pt>
                <c:pt idx="53">
                  <c:v>59.218881945617312</c:v>
                </c:pt>
                <c:pt idx="54">
                  <c:v>64.631736307543491</c:v>
                </c:pt>
                <c:pt idx="55">
                  <c:v>73.8072264682731</c:v>
                </c:pt>
                <c:pt idx="56">
                  <c:v>77.519122048553385</c:v>
                </c:pt>
                <c:pt idx="57">
                  <c:v>75.767574372225525</c:v>
                </c:pt>
                <c:pt idx="58">
                  <c:v>77.656429017119734</c:v>
                </c:pt>
                <c:pt idx="59">
                  <c:v>86.083199952575725</c:v>
                </c:pt>
                <c:pt idx="60">
                  <c:v>89.89783006820015</c:v>
                </c:pt>
                <c:pt idx="61">
                  <c:v>84.039196484263101</c:v>
                </c:pt>
                <c:pt idx="62">
                  <c:v>89.204944757428109</c:v>
                </c:pt>
                <c:pt idx="63">
                  <c:v>99.684527096353847</c:v>
                </c:pt>
                <c:pt idx="64">
                  <c:v>96.886883170051306</c:v>
                </c:pt>
                <c:pt idx="65">
                  <c:v>90.170243769500729</c:v>
                </c:pt>
                <c:pt idx="66">
                  <c:v>103.14716940580537</c:v>
                </c:pt>
                <c:pt idx="67">
                  <c:v>115.37909495406093</c:v>
                </c:pt>
                <c:pt idx="68">
                  <c:v>136.62388365623934</c:v>
                </c:pt>
                <c:pt idx="69">
                  <c:v>127.49706722815463</c:v>
                </c:pt>
                <c:pt idx="70">
                  <c:v>140.06341921320399</c:v>
                </c:pt>
                <c:pt idx="71">
                  <c:v>144.96670355485659</c:v>
                </c:pt>
                <c:pt idx="72">
                  <c:v>128.1971009035023</c:v>
                </c:pt>
                <c:pt idx="73">
                  <c:v>116.82833967406125</c:v>
                </c:pt>
                <c:pt idx="74">
                  <c:v>110.71940731404841</c:v>
                </c:pt>
                <c:pt idx="75">
                  <c:v>117.39959736309</c:v>
                </c:pt>
                <c:pt idx="76">
                  <c:v>111.78250071251169</c:v>
                </c:pt>
                <c:pt idx="77">
                  <c:v>102.84606766454068</c:v>
                </c:pt>
                <c:pt idx="78">
                  <c:v>104.0024784220608</c:v>
                </c:pt>
                <c:pt idx="79">
                  <c:v>101.84936112979155</c:v>
                </c:pt>
                <c:pt idx="80">
                  <c:v>98.912962345027907</c:v>
                </c:pt>
                <c:pt idx="81">
                  <c:v>105.49072220087326</c:v>
                </c:pt>
                <c:pt idx="82">
                  <c:v>95.432319338003694</c:v>
                </c:pt>
                <c:pt idx="83">
                  <c:v>92.248394349074857</c:v>
                </c:pt>
                <c:pt idx="84">
                  <c:v>98.679261141469183</c:v>
                </c:pt>
                <c:pt idx="85">
                  <c:v>108.43090458246461</c:v>
                </c:pt>
                <c:pt idx="86">
                  <c:v>119.29309800027085</c:v>
                </c:pt>
                <c:pt idx="87">
                  <c:v>116.30461944683398</c:v>
                </c:pt>
                <c:pt idx="88">
                  <c:v>104.64441550727615</c:v>
                </c:pt>
                <c:pt idx="89">
                  <c:v>95.5596879563589</c:v>
                </c:pt>
                <c:pt idx="90">
                  <c:v>97.799819426631558</c:v>
                </c:pt>
                <c:pt idx="91">
                  <c:v>102.02246927032057</c:v>
                </c:pt>
                <c:pt idx="92">
                  <c:v>107.67250244618702</c:v>
                </c:pt>
                <c:pt idx="93">
                  <c:v>114.20817329405378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85-4816-8D39-EFF90618107D}"/>
            </c:ext>
          </c:extLst>
        </c:ser>
        <c:ser>
          <c:idx val="5"/>
          <c:order val="5"/>
          <c:tx>
            <c:v>WCS ($Cdn/Bbl)</c:v>
          </c:tx>
          <c:cat>
            <c:strRef>
              <c:f>Sheet1!$A$62:$A$155</c:f>
              <c:strCache>
                <c:ptCount val="94"/>
                <c:pt idx="0">
                  <c:v>Jul,16</c:v>
                </c:pt>
                <c:pt idx="1">
                  <c:v>Aug,16</c:v>
                </c:pt>
                <c:pt idx="2">
                  <c:v>Sep,16</c:v>
                </c:pt>
                <c:pt idx="3">
                  <c:v>Oct,16</c:v>
                </c:pt>
                <c:pt idx="4">
                  <c:v>Nov,16</c:v>
                </c:pt>
                <c:pt idx="5">
                  <c:v>Dec,16</c:v>
                </c:pt>
                <c:pt idx="6">
                  <c:v>Jan,17</c:v>
                </c:pt>
                <c:pt idx="7">
                  <c:v>Feb,17</c:v>
                </c:pt>
                <c:pt idx="8">
                  <c:v>Mar,17</c:v>
                </c:pt>
                <c:pt idx="9">
                  <c:v>Apr,17</c:v>
                </c:pt>
                <c:pt idx="10">
                  <c:v>May,17</c:v>
                </c:pt>
                <c:pt idx="11">
                  <c:v>Jun,17</c:v>
                </c:pt>
                <c:pt idx="12">
                  <c:v>Jul,17</c:v>
                </c:pt>
                <c:pt idx="13">
                  <c:v>Aug,17</c:v>
                </c:pt>
                <c:pt idx="14">
                  <c:v>Sep,17</c:v>
                </c:pt>
                <c:pt idx="15">
                  <c:v>Oct,17</c:v>
                </c:pt>
                <c:pt idx="16">
                  <c:v>Nov,17</c:v>
                </c:pt>
                <c:pt idx="17">
                  <c:v>Dec,17</c:v>
                </c:pt>
                <c:pt idx="18">
                  <c:v>Jan,18</c:v>
                </c:pt>
                <c:pt idx="19">
                  <c:v>Feb,18</c:v>
                </c:pt>
                <c:pt idx="20">
                  <c:v>Mar,18</c:v>
                </c:pt>
                <c:pt idx="21">
                  <c:v>Apr,18</c:v>
                </c:pt>
                <c:pt idx="22">
                  <c:v>May,18</c:v>
                </c:pt>
                <c:pt idx="23">
                  <c:v>Jun,18</c:v>
                </c:pt>
                <c:pt idx="24">
                  <c:v>Jul,18</c:v>
                </c:pt>
                <c:pt idx="25">
                  <c:v>Aug,18</c:v>
                </c:pt>
                <c:pt idx="26">
                  <c:v>Sep,18</c:v>
                </c:pt>
                <c:pt idx="27">
                  <c:v>Oct,18</c:v>
                </c:pt>
                <c:pt idx="28">
                  <c:v>Nov,18</c:v>
                </c:pt>
                <c:pt idx="29">
                  <c:v>Dec,18</c:v>
                </c:pt>
                <c:pt idx="30">
                  <c:v>Jan,19</c:v>
                </c:pt>
                <c:pt idx="31">
                  <c:v>Feb,19</c:v>
                </c:pt>
                <c:pt idx="32">
                  <c:v>Mar,19</c:v>
                </c:pt>
                <c:pt idx="33">
                  <c:v>Apr,19</c:v>
                </c:pt>
                <c:pt idx="34">
                  <c:v>May,19</c:v>
                </c:pt>
                <c:pt idx="35">
                  <c:v>Jun,19</c:v>
                </c:pt>
                <c:pt idx="36">
                  <c:v>Jul,19</c:v>
                </c:pt>
                <c:pt idx="37">
                  <c:v>Aug,19</c:v>
                </c:pt>
                <c:pt idx="38">
                  <c:v>Sep,19</c:v>
                </c:pt>
                <c:pt idx="39">
                  <c:v>Oct,19</c:v>
                </c:pt>
                <c:pt idx="40">
                  <c:v>Nov,19</c:v>
                </c:pt>
                <c:pt idx="41">
                  <c:v>Dec,19</c:v>
                </c:pt>
                <c:pt idx="42">
                  <c:v>Jan,20</c:v>
                </c:pt>
                <c:pt idx="43">
                  <c:v>Feb,20</c:v>
                </c:pt>
                <c:pt idx="44">
                  <c:v>Mar,20</c:v>
                </c:pt>
                <c:pt idx="45">
                  <c:v>Apr,20</c:v>
                </c:pt>
                <c:pt idx="46">
                  <c:v>May,20</c:v>
                </c:pt>
                <c:pt idx="47">
                  <c:v>Jun,20</c:v>
                </c:pt>
                <c:pt idx="48">
                  <c:v>Jul,20</c:v>
                </c:pt>
                <c:pt idx="49">
                  <c:v>Aug,20</c:v>
                </c:pt>
                <c:pt idx="50">
                  <c:v>Sep,20</c:v>
                </c:pt>
                <c:pt idx="51">
                  <c:v>Oct,20</c:v>
                </c:pt>
                <c:pt idx="52">
                  <c:v>Nov,20</c:v>
                </c:pt>
                <c:pt idx="53">
                  <c:v>Dec,20</c:v>
                </c:pt>
                <c:pt idx="54">
                  <c:v>Jan,21</c:v>
                </c:pt>
                <c:pt idx="55">
                  <c:v>Feb,21</c:v>
                </c:pt>
                <c:pt idx="56">
                  <c:v>Mar,21</c:v>
                </c:pt>
                <c:pt idx="57">
                  <c:v>Apr,21</c:v>
                </c:pt>
                <c:pt idx="58">
                  <c:v>May,21</c:v>
                </c:pt>
                <c:pt idx="59">
                  <c:v>Jun,21</c:v>
                </c:pt>
                <c:pt idx="60">
                  <c:v>Jul,21</c:v>
                </c:pt>
                <c:pt idx="61">
                  <c:v>Aug,21</c:v>
                </c:pt>
                <c:pt idx="62">
                  <c:v>Sep,21</c:v>
                </c:pt>
                <c:pt idx="63">
                  <c:v>Oct,21</c:v>
                </c:pt>
                <c:pt idx="64">
                  <c:v>Nov,21</c:v>
                </c:pt>
                <c:pt idx="65">
                  <c:v>Dec,21</c:v>
                </c:pt>
                <c:pt idx="66">
                  <c:v>Jan,22</c:v>
                </c:pt>
                <c:pt idx="67">
                  <c:v>Feb,22</c:v>
                </c:pt>
                <c:pt idx="68">
                  <c:v>Mar,22</c:v>
                </c:pt>
                <c:pt idx="69">
                  <c:v>Apr,22</c:v>
                </c:pt>
                <c:pt idx="70">
                  <c:v>May,22</c:v>
                </c:pt>
                <c:pt idx="71">
                  <c:v>Jun,22</c:v>
                </c:pt>
                <c:pt idx="72">
                  <c:v>Jul,22</c:v>
                </c:pt>
                <c:pt idx="73">
                  <c:v>Aug,22</c:v>
                </c:pt>
                <c:pt idx="74">
                  <c:v>Sep,22</c:v>
                </c:pt>
                <c:pt idx="75">
                  <c:v>Oct,22</c:v>
                </c:pt>
                <c:pt idx="76">
                  <c:v>Nov,22</c:v>
                </c:pt>
                <c:pt idx="77">
                  <c:v>Dec,22</c:v>
                </c:pt>
                <c:pt idx="78">
                  <c:v>Jan,23</c:v>
                </c:pt>
                <c:pt idx="79">
                  <c:v>Feb,23</c:v>
                </c:pt>
                <c:pt idx="80">
                  <c:v>Mar,23</c:v>
                </c:pt>
                <c:pt idx="81">
                  <c:v>Apr,23</c:v>
                </c:pt>
                <c:pt idx="82">
                  <c:v>May,23</c:v>
                </c:pt>
                <c:pt idx="83">
                  <c:v>Jun,23</c:v>
                </c:pt>
                <c:pt idx="84">
                  <c:v>Jul,23</c:v>
                </c:pt>
                <c:pt idx="85">
                  <c:v>Aug,23</c:v>
                </c:pt>
                <c:pt idx="86">
                  <c:v>Sep,23</c:v>
                </c:pt>
                <c:pt idx="87">
                  <c:v>Oct,23</c:v>
                </c:pt>
                <c:pt idx="88">
                  <c:v>Nov,23</c:v>
                </c:pt>
                <c:pt idx="89">
                  <c:v>Dec,23</c:v>
                </c:pt>
                <c:pt idx="90">
                  <c:v>Jan,24</c:v>
                </c:pt>
                <c:pt idx="91">
                  <c:v>Feb,24</c:v>
                </c:pt>
                <c:pt idx="92">
                  <c:v>Mar,24</c:v>
                </c:pt>
                <c:pt idx="93">
                  <c:v>Apr,24</c:v>
                </c:pt>
              </c:strCache>
            </c:strRef>
          </c:cat>
          <c:val>
            <c:numRef>
              <c:f>Sheet1!$C$62:$C$155</c:f>
              <c:numCache>
                <c:formatCode>"$"#,##0.00</c:formatCode>
                <c:ptCount val="94"/>
                <c:pt idx="0">
                  <c:v>42.76</c:v>
                </c:pt>
                <c:pt idx="1">
                  <c:v>40.17</c:v>
                </c:pt>
                <c:pt idx="2">
                  <c:v>40.08115714379214</c:v>
                </c:pt>
                <c:pt idx="3">
                  <c:v>47.459348311488441</c:v>
                </c:pt>
                <c:pt idx="4">
                  <c:v>42.876262765157769</c:v>
                </c:pt>
                <c:pt idx="5">
                  <c:v>49.643134589240624</c:v>
                </c:pt>
                <c:pt idx="6">
                  <c:v>49.104843985379816</c:v>
                </c:pt>
                <c:pt idx="7">
                  <c:v>51.317350745045594</c:v>
                </c:pt>
                <c:pt idx="8">
                  <c:v>47.747994111794441</c:v>
                </c:pt>
                <c:pt idx="9">
                  <c:v>49.495505904797746</c:v>
                </c:pt>
                <c:pt idx="10">
                  <c:v>52.805428794363138</c:v>
                </c:pt>
                <c:pt idx="11">
                  <c:v>47.586823597650856</c:v>
                </c:pt>
                <c:pt idx="12">
                  <c:v>46.173796338838777</c:v>
                </c:pt>
                <c:pt idx="13">
                  <c:v>48.537303288258414</c:v>
                </c:pt>
                <c:pt idx="14">
                  <c:v>47.33</c:v>
                </c:pt>
                <c:pt idx="15">
                  <c:v>48.5</c:v>
                </c:pt>
                <c:pt idx="16">
                  <c:v>52.97</c:v>
                </c:pt>
                <c:pt idx="17">
                  <c:v>43.84</c:v>
                </c:pt>
                <c:pt idx="18">
                  <c:v>52.89</c:v>
                </c:pt>
                <c:pt idx="19">
                  <c:v>47.468035840128863</c:v>
                </c:pt>
                <c:pt idx="20">
                  <c:v>45.930826996979704</c:v>
                </c:pt>
                <c:pt idx="21">
                  <c:v>51.517888534607124</c:v>
                </c:pt>
                <c:pt idx="22">
                  <c:v>68.514964498133992</c:v>
                </c:pt>
                <c:pt idx="23">
                  <c:v>68.388516279854727</c:v>
                </c:pt>
                <c:pt idx="24">
                  <c:v>69.402704968283558</c:v>
                </c:pt>
                <c:pt idx="25">
                  <c:v>63.31</c:v>
                </c:pt>
                <c:pt idx="26">
                  <c:v>52.618544876306643</c:v>
                </c:pt>
                <c:pt idx="27">
                  <c:v>53.557079641009992</c:v>
                </c:pt>
                <c:pt idx="28">
                  <c:v>14.563852644972332</c:v>
                </c:pt>
                <c:pt idx="29">
                  <c:v>39.9</c:v>
                </c:pt>
                <c:pt idx="30">
                  <c:v>45.643105513159497</c:v>
                </c:pt>
                <c:pt idx="31">
                  <c:v>59.88</c:v>
                </c:pt>
                <c:pt idx="32">
                  <c:v>64.45</c:v>
                </c:pt>
                <c:pt idx="33">
                  <c:v>71.230094791052309</c:v>
                </c:pt>
                <c:pt idx="34">
                  <c:v>70.590300944621958</c:v>
                </c:pt>
                <c:pt idx="35">
                  <c:v>55.440442035915432</c:v>
                </c:pt>
                <c:pt idx="36">
                  <c:v>58.565178754528681</c:v>
                </c:pt>
                <c:pt idx="37">
                  <c:v>57.20249514363968</c:v>
                </c:pt>
                <c:pt idx="38">
                  <c:v>59.38</c:v>
                </c:pt>
                <c:pt idx="39">
                  <c:v>55.348898562194961</c:v>
                </c:pt>
                <c:pt idx="40">
                  <c:v>56.022592601931457</c:v>
                </c:pt>
                <c:pt idx="41">
                  <c:v>51.494096031503794</c:v>
                </c:pt>
                <c:pt idx="42">
                  <c:v>48.163293162184139</c:v>
                </c:pt>
                <c:pt idx="43">
                  <c:v>36.241655319007606</c:v>
                </c:pt>
                <c:pt idx="44">
                  <c:v>17.895243645946838</c:v>
                </c:pt>
                <c:pt idx="45">
                  <c:v>4.917456972251494</c:v>
                </c:pt>
                <c:pt idx="46">
                  <c:v>16.303545174531163</c:v>
                </c:pt>
                <c:pt idx="47">
                  <c:v>46.027258897942346</c:v>
                </c:pt>
                <c:pt idx="48">
                  <c:v>43.881019331129984</c:v>
                </c:pt>
                <c:pt idx="49">
                  <c:v>45.773827148049925</c:v>
                </c:pt>
                <c:pt idx="50">
                  <c:v>37.587514498109982</c:v>
                </c:pt>
                <c:pt idx="51">
                  <c:v>41.177918825924301</c:v>
                </c:pt>
                <c:pt idx="52">
                  <c:v>41.265405203535408</c:v>
                </c:pt>
                <c:pt idx="53">
                  <c:v>47.808844825665595</c:v>
                </c:pt>
                <c:pt idx="54">
                  <c:v>50.936846887778287</c:v>
                </c:pt>
                <c:pt idx="55">
                  <c:v>57.296295355864196</c:v>
                </c:pt>
                <c:pt idx="56">
                  <c:v>64.043248679909482</c:v>
                </c:pt>
                <c:pt idx="57">
                  <c:v>63.107022176789606</c:v>
                </c:pt>
                <c:pt idx="58">
                  <c:v>66.403449529845716</c:v>
                </c:pt>
                <c:pt idx="59">
                  <c:v>71.476524986661929</c:v>
                </c:pt>
                <c:pt idx="60">
                  <c:v>73.177281882631405</c:v>
                </c:pt>
                <c:pt idx="61">
                  <c:v>68.614977640612224</c:v>
                </c:pt>
                <c:pt idx="62">
                  <c:v>73.528496872083807</c:v>
                </c:pt>
                <c:pt idx="63">
                  <c:v>86.199135224782339</c:v>
                </c:pt>
                <c:pt idx="64">
                  <c:v>82.002799120276478</c:v>
                </c:pt>
                <c:pt idx="65">
                  <c:v>67.925094966101412</c:v>
                </c:pt>
                <c:pt idx="66">
                  <c:v>82.837746014756377</c:v>
                </c:pt>
                <c:pt idx="67">
                  <c:v>100.59901563036539</c:v>
                </c:pt>
                <c:pt idx="68">
                  <c:v>119.65946912391694</c:v>
                </c:pt>
                <c:pt idx="69">
                  <c:v>112.51376146788992</c:v>
                </c:pt>
                <c:pt idx="70">
                  <c:v>124.08332944088937</c:v>
                </c:pt>
                <c:pt idx="71" formatCode="0.00">
                  <c:v>129.63713669986601</c:v>
                </c:pt>
                <c:pt idx="72">
                  <c:v>104.01019635369526</c:v>
                </c:pt>
                <c:pt idx="73">
                  <c:v>91.030387469733299</c:v>
                </c:pt>
                <c:pt idx="74">
                  <c:v>85.555703673182506</c:v>
                </c:pt>
                <c:pt idx="75">
                  <c:v>90.886448988107659</c:v>
                </c:pt>
                <c:pt idx="76">
                  <c:v>77.176010748747998</c:v>
                </c:pt>
                <c:pt idx="77">
                  <c:v>64.092978998164881</c:v>
                </c:pt>
                <c:pt idx="78">
                  <c:v>67.146767383398853</c:v>
                </c:pt>
                <c:pt idx="79">
                  <c:v>68.247110041411574</c:v>
                </c:pt>
                <c:pt idx="80">
                  <c:v>71.954209371077795</c:v>
                </c:pt>
                <c:pt idx="81">
                  <c:v>85.483836606462631</c:v>
                </c:pt>
                <c:pt idx="82">
                  <c:v>76.728543249030835</c:v>
                </c:pt>
                <c:pt idx="83">
                  <c:v>74.650509664959003</c:v>
                </c:pt>
                <c:pt idx="84">
                  <c:v>84.719639755305479</c:v>
                </c:pt>
                <c:pt idx="85">
                  <c:v>94.748183182127192</c:v>
                </c:pt>
                <c:pt idx="86">
                  <c:v>100.10504220647316</c:v>
                </c:pt>
                <c:pt idx="87">
                  <c:v>92.234206048972581</c:v>
                </c:pt>
                <c:pt idx="88">
                  <c:v>77.31761588193632</c:v>
                </c:pt>
                <c:pt idx="89">
                  <c:v>61.037875739985061</c:v>
                </c:pt>
                <c:pt idx="90">
                  <c:v>72.330261969888454</c:v>
                </c:pt>
                <c:pt idx="91">
                  <c:v>78.149944079497104</c:v>
                </c:pt>
                <c:pt idx="92">
                  <c:v>82.952883090766136</c:v>
                </c:pt>
                <c:pt idx="93">
                  <c:v>93.811122574550311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85-4816-8D39-EFF906181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988952"/>
        <c:axId val="474989344"/>
      </c:lineChart>
      <c:dateAx>
        <c:axId val="4749889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Month-Yr</a:t>
                </a:r>
              </a:p>
            </c:rich>
          </c:tx>
          <c:overlay val="0"/>
        </c:title>
        <c:numFmt formatCode="[$-1009]d\-mmm\-yy;@" sourceLinked="0"/>
        <c:majorTickMark val="out"/>
        <c:minorTickMark val="none"/>
        <c:tickLblPos val="nextTo"/>
        <c:crossAx val="474989344"/>
        <c:crosses val="autoZero"/>
        <c:auto val="1"/>
        <c:lblOffset val="100"/>
        <c:baseTimeUnit val="days"/>
        <c:majorUnit val="12"/>
        <c:majorTimeUnit val="months"/>
        <c:minorUnit val="1"/>
        <c:minorTimeUnit val="months"/>
      </c:dateAx>
      <c:valAx>
        <c:axId val="474989344"/>
        <c:scaling>
          <c:orientation val="minMax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Oil Price ($Cdn/Bbl)</a:t>
                </a:r>
              </a:p>
            </c:rich>
          </c:tx>
          <c:overlay val="0"/>
        </c:title>
        <c:numFmt formatCode="_(&quot;$&quot;* #,##0_);_(&quot;$&quot;* \(#,##0\);_(&quot;$&quot;* &quot;-&quot;_);_(@_)" sourceLinked="0"/>
        <c:majorTickMark val="out"/>
        <c:minorTickMark val="none"/>
        <c:tickLblPos val="nextTo"/>
        <c:crossAx val="474988952"/>
        <c:crossesAt val="1"/>
        <c:crossBetween val="between"/>
        <c:minorUnit val="10"/>
      </c:valAx>
    </c:plotArea>
    <c:legend>
      <c:legendPos val="b"/>
      <c:layout>
        <c:manualLayout>
          <c:xMode val="edge"/>
          <c:yMode val="edge"/>
          <c:x val="6.7422605297366225E-2"/>
          <c:y val="0.91213539686849487"/>
          <c:w val="0.85406241262424809"/>
          <c:h val="8.7864603131505112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55118110236220474" l="0.70866141732283472" r="0.70866141732283472" t="0.55118110236220474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165736</xdr:colOff>
      <xdr:row>0</xdr:row>
      <xdr:rowOff>85725</xdr:rowOff>
    </xdr:from>
    <xdr:to>
      <xdr:col>9</xdr:col>
      <xdr:colOff>194310</xdr:colOff>
      <xdr:row>22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56"/>
  <sheetViews>
    <sheetView tabSelected="1" zoomScaleNormal="100" workbookViewId="0">
      <pane xSplit="1" ySplit="7" topLeftCell="L152" activePane="bottomRight" state="frozen"/>
      <selection pane="topRight" activeCell="B1" sqref="B1"/>
      <selection pane="bottomLeft" activeCell="A8" sqref="A8"/>
      <selection pane="bottomRight" activeCell="L156" sqref="L156"/>
    </sheetView>
  </sheetViews>
  <sheetFormatPr defaultRowHeight="15"/>
  <cols>
    <col min="1" max="1" width="10.5703125" bestFit="1" customWidth="1"/>
    <col min="2" max="14" width="8.42578125" customWidth="1"/>
    <col min="15" max="15" width="10.5703125" customWidth="1"/>
    <col min="16" max="16" width="10.42578125" customWidth="1"/>
    <col min="17" max="17" width="8.140625" customWidth="1"/>
  </cols>
  <sheetData>
    <row r="1" spans="1:18">
      <c r="A1" t="s">
        <v>0</v>
      </c>
    </row>
    <row r="2" spans="1:18">
      <c r="A2" t="s">
        <v>30</v>
      </c>
    </row>
    <row r="3" spans="1:18">
      <c r="A3" t="s">
        <v>31</v>
      </c>
    </row>
    <row r="4" spans="1:18">
      <c r="A4" t="s">
        <v>49</v>
      </c>
    </row>
    <row r="5" spans="1:18">
      <c r="A5" t="s">
        <v>1</v>
      </c>
      <c r="B5" s="10" t="s">
        <v>51</v>
      </c>
      <c r="C5" s="10" t="s">
        <v>70</v>
      </c>
      <c r="D5" s="7" t="s">
        <v>34</v>
      </c>
      <c r="E5" s="7" t="s">
        <v>37</v>
      </c>
      <c r="F5" s="7" t="s">
        <v>34</v>
      </c>
      <c r="G5" s="1" t="s">
        <v>32</v>
      </c>
      <c r="H5" s="2"/>
      <c r="I5" s="2"/>
      <c r="J5" s="2"/>
      <c r="K5" s="2"/>
      <c r="L5" s="2"/>
      <c r="M5" s="2"/>
      <c r="N5" s="12"/>
      <c r="O5" s="7" t="s">
        <v>48</v>
      </c>
      <c r="P5" s="7" t="s">
        <v>48</v>
      </c>
    </row>
    <row r="6" spans="1:18">
      <c r="B6" s="10" t="s">
        <v>50</v>
      </c>
      <c r="C6" s="10" t="s">
        <v>71</v>
      </c>
      <c r="D6" s="8" t="s">
        <v>35</v>
      </c>
      <c r="E6" s="8" t="s">
        <v>38</v>
      </c>
      <c r="F6" s="8" t="s">
        <v>35</v>
      </c>
      <c r="G6" s="17" t="s">
        <v>45</v>
      </c>
      <c r="H6" s="18"/>
      <c r="I6" s="17" t="s">
        <v>47</v>
      </c>
      <c r="J6" s="18"/>
      <c r="K6" s="17" t="s">
        <v>56</v>
      </c>
      <c r="L6" s="18"/>
      <c r="M6" s="17" t="s">
        <v>57</v>
      </c>
      <c r="N6" s="18"/>
      <c r="O6" s="8" t="s">
        <v>39</v>
      </c>
      <c r="P6" s="8" t="s">
        <v>39</v>
      </c>
      <c r="Q6" t="s">
        <v>113</v>
      </c>
    </row>
    <row r="7" spans="1:18">
      <c r="B7" s="6" t="s">
        <v>33</v>
      </c>
      <c r="C7" s="6" t="s">
        <v>33</v>
      </c>
      <c r="D7" s="9" t="s">
        <v>36</v>
      </c>
      <c r="E7" s="9" t="s">
        <v>40</v>
      </c>
      <c r="F7" s="9" t="s">
        <v>33</v>
      </c>
      <c r="G7" s="6" t="s">
        <v>46</v>
      </c>
      <c r="H7" s="6" t="s">
        <v>33</v>
      </c>
      <c r="I7" s="6" t="s">
        <v>46</v>
      </c>
      <c r="J7" s="6" t="s">
        <v>33</v>
      </c>
      <c r="K7" s="6" t="s">
        <v>46</v>
      </c>
      <c r="L7" s="6" t="s">
        <v>33</v>
      </c>
      <c r="M7" s="6" t="s">
        <v>46</v>
      </c>
      <c r="N7" s="6" t="s">
        <v>33</v>
      </c>
      <c r="O7" s="9" t="s">
        <v>36</v>
      </c>
      <c r="P7" s="9" t="s">
        <v>33</v>
      </c>
      <c r="Q7" s="6" t="s">
        <v>46</v>
      </c>
      <c r="R7" s="6" t="s">
        <v>33</v>
      </c>
    </row>
    <row r="8" spans="1:18">
      <c r="A8" s="3" t="s">
        <v>2</v>
      </c>
      <c r="B8" s="4">
        <v>104.35302175319052</v>
      </c>
      <c r="C8" s="4">
        <v>87.611676212743774</v>
      </c>
      <c r="D8" s="4">
        <v>100.2552380952381</v>
      </c>
      <c r="E8" s="13">
        <v>0.9864238095238097</v>
      </c>
      <c r="F8" s="4">
        <f>D8/E8</f>
        <v>101.63505496043909</v>
      </c>
      <c r="G8" s="4"/>
      <c r="H8" s="4">
        <v>101.11</v>
      </c>
      <c r="I8" s="4"/>
      <c r="J8" s="11">
        <v>99.45</v>
      </c>
      <c r="K8" s="11"/>
      <c r="L8" s="4">
        <v>101.99</v>
      </c>
      <c r="M8" s="4"/>
      <c r="N8" s="4">
        <v>100.45</v>
      </c>
      <c r="O8" s="5"/>
      <c r="P8" s="14"/>
    </row>
    <row r="9" spans="1:18">
      <c r="A9" s="3" t="s">
        <v>3</v>
      </c>
      <c r="B9" s="4">
        <v>99.811373824661885</v>
      </c>
      <c r="C9" s="4">
        <v>82.719013740948085</v>
      </c>
      <c r="D9" s="4">
        <v>101.97473684210524</v>
      </c>
      <c r="E9" s="13">
        <v>1.0029800000000002</v>
      </c>
      <c r="F9" s="4">
        <f t="shared" ref="F9:F39" si="0">D9/E9</f>
        <v>101.67175501216896</v>
      </c>
      <c r="G9" s="4"/>
      <c r="H9" s="4">
        <v>98.72</v>
      </c>
      <c r="I9" s="4"/>
      <c r="J9" s="11">
        <v>95.69</v>
      </c>
      <c r="K9" s="11"/>
      <c r="L9" s="4">
        <v>99.47</v>
      </c>
      <c r="M9" s="4"/>
      <c r="N9" s="4">
        <v>97.17</v>
      </c>
      <c r="O9" s="5"/>
      <c r="P9" s="14"/>
    </row>
    <row r="10" spans="1:18">
      <c r="A10" s="3" t="s">
        <v>4</v>
      </c>
      <c r="B10" s="4">
        <v>90.624786464681449</v>
      </c>
      <c r="C10" s="4">
        <v>74.515019908775074</v>
      </c>
      <c r="D10" s="4">
        <v>106.14590909090907</v>
      </c>
      <c r="E10" s="13">
        <v>1.0062</v>
      </c>
      <c r="F10" s="4">
        <f t="shared" si="0"/>
        <v>105.49185956162698</v>
      </c>
      <c r="G10" s="4"/>
      <c r="H10" s="4">
        <v>89.74</v>
      </c>
      <c r="I10" s="4"/>
      <c r="J10" s="11">
        <v>84.91</v>
      </c>
      <c r="K10" s="11"/>
      <c r="L10" s="4">
        <v>90.49</v>
      </c>
      <c r="M10" s="4"/>
      <c r="N10" s="4">
        <v>86.39</v>
      </c>
      <c r="O10" s="5"/>
      <c r="P10" s="14"/>
    </row>
    <row r="11" spans="1:18">
      <c r="A11" s="3" t="s">
        <v>5</v>
      </c>
      <c r="B11" s="4">
        <v>91.289030283479562</v>
      </c>
      <c r="C11" s="4">
        <v>69.856837976948512</v>
      </c>
      <c r="D11" s="4">
        <v>103.29050000000002</v>
      </c>
      <c r="E11" s="13">
        <v>1.0074650000000003</v>
      </c>
      <c r="F11" s="4">
        <f t="shared" si="0"/>
        <v>102.52514975706352</v>
      </c>
      <c r="G11" s="4"/>
      <c r="H11" s="4">
        <v>88.1</v>
      </c>
      <c r="I11" s="4"/>
      <c r="J11" s="11">
        <v>81.94</v>
      </c>
      <c r="K11" s="11"/>
      <c r="L11" s="4">
        <v>88.84</v>
      </c>
      <c r="M11" s="4"/>
      <c r="N11" s="4">
        <v>83.42</v>
      </c>
      <c r="O11" s="5"/>
      <c r="P11" s="14"/>
    </row>
    <row r="12" spans="1:18">
      <c r="A12" s="3" t="s">
        <v>6</v>
      </c>
      <c r="B12" s="4">
        <v>93.137153635781459</v>
      </c>
      <c r="C12" s="4">
        <v>75.811725545471845</v>
      </c>
      <c r="D12" s="4">
        <v>94.868636363636369</v>
      </c>
      <c r="E12" s="13">
        <v>0.99163809523809543</v>
      </c>
      <c r="F12" s="4">
        <f t="shared" si="0"/>
        <v>95.668608153721763</v>
      </c>
      <c r="G12" s="4"/>
      <c r="H12" s="4">
        <v>91.43</v>
      </c>
      <c r="I12" s="4"/>
      <c r="J12" s="11">
        <v>88.95</v>
      </c>
      <c r="K12" s="11"/>
      <c r="L12" s="4">
        <v>92.17</v>
      </c>
      <c r="M12" s="4"/>
      <c r="N12" s="4">
        <v>90.43</v>
      </c>
      <c r="O12" s="5"/>
      <c r="P12" s="14"/>
    </row>
    <row r="13" spans="1:18">
      <c r="A13" s="3" t="s">
        <v>7</v>
      </c>
      <c r="B13" s="4">
        <v>86.547155749284514</v>
      </c>
      <c r="C13" s="4">
        <v>68.202584830133148</v>
      </c>
      <c r="D13" s="4">
        <v>82.361428571428561</v>
      </c>
      <c r="E13" s="13">
        <v>0.97274285714285735</v>
      </c>
      <c r="F13" s="4">
        <f t="shared" si="0"/>
        <v>84.669270986312611</v>
      </c>
      <c r="G13" s="4"/>
      <c r="H13" s="4">
        <v>84.95</v>
      </c>
      <c r="I13" s="4"/>
      <c r="J13" s="11">
        <v>82.78</v>
      </c>
      <c r="K13" s="11"/>
      <c r="L13" s="4">
        <v>85.69</v>
      </c>
      <c r="M13" s="4"/>
      <c r="N13" s="4">
        <v>84.26</v>
      </c>
      <c r="O13" s="5"/>
      <c r="P13" s="14"/>
    </row>
    <row r="14" spans="1:18">
      <c r="A14" s="3" t="s">
        <v>8</v>
      </c>
      <c r="B14" s="4">
        <v>83.054313850437083</v>
      </c>
      <c r="C14" s="4">
        <v>65.077884441704128</v>
      </c>
      <c r="D14" s="4">
        <v>87.913000000000025</v>
      </c>
      <c r="E14" s="13">
        <v>0.98566499999999979</v>
      </c>
      <c r="F14" s="4">
        <f t="shared" si="0"/>
        <v>89.19156102732677</v>
      </c>
      <c r="G14" s="4"/>
      <c r="H14" s="4">
        <v>79.97</v>
      </c>
      <c r="I14" s="4"/>
      <c r="J14" s="11">
        <v>79.25</v>
      </c>
      <c r="K14" s="11"/>
      <c r="L14" s="4">
        <v>80.709999999999994</v>
      </c>
      <c r="M14" s="4"/>
      <c r="N14" s="4">
        <v>80.73</v>
      </c>
      <c r="O14" s="5"/>
      <c r="P14" s="14"/>
    </row>
    <row r="15" spans="1:18">
      <c r="A15" s="3" t="s">
        <v>9</v>
      </c>
      <c r="B15" s="4">
        <v>90.569167963107461</v>
      </c>
      <c r="C15" s="4">
        <v>68.45895963738856</v>
      </c>
      <c r="D15" s="4">
        <v>94.111739130434771</v>
      </c>
      <c r="E15" s="13">
        <v>1.0079499999999999</v>
      </c>
      <c r="F15" s="4">
        <f t="shared" si="0"/>
        <v>93.36945198713704</v>
      </c>
      <c r="G15" s="4"/>
      <c r="H15" s="4">
        <v>90.64</v>
      </c>
      <c r="I15" s="4"/>
      <c r="J15" s="11">
        <v>86.1</v>
      </c>
      <c r="K15" s="11"/>
      <c r="L15" s="4">
        <v>91.38</v>
      </c>
      <c r="M15" s="4"/>
      <c r="N15" s="4">
        <v>87.58</v>
      </c>
      <c r="O15" s="5"/>
      <c r="P15" s="14"/>
    </row>
    <row r="16" spans="1:18">
      <c r="A16" s="3" t="s">
        <v>10</v>
      </c>
      <c r="B16" s="4">
        <v>97.281526553067195</v>
      </c>
      <c r="C16" s="4">
        <v>76.441009163280569</v>
      </c>
      <c r="D16" s="4">
        <v>94.507894736842104</v>
      </c>
      <c r="E16" s="13">
        <v>1.0222210526315787</v>
      </c>
      <c r="F16" s="4">
        <f t="shared" si="0"/>
        <v>92.453481068056163</v>
      </c>
      <c r="G16" s="4"/>
      <c r="H16" s="4">
        <v>94.52</v>
      </c>
      <c r="I16" s="4"/>
      <c r="J16" s="11">
        <v>92.02</v>
      </c>
      <c r="K16" s="11"/>
      <c r="L16" s="4">
        <v>95.26</v>
      </c>
      <c r="M16" s="4"/>
      <c r="N16" s="4">
        <v>93.5</v>
      </c>
      <c r="O16" s="5"/>
      <c r="P16" s="14"/>
    </row>
    <row r="17" spans="1:16">
      <c r="A17" s="3" t="s">
        <v>11</v>
      </c>
      <c r="B17" s="4">
        <v>100.79343765245429</v>
      </c>
      <c r="C17" s="4">
        <v>78.814065230438047</v>
      </c>
      <c r="D17" s="4">
        <v>89.861428571428561</v>
      </c>
      <c r="E17" s="13">
        <v>1.0142800000000001</v>
      </c>
      <c r="F17" s="4">
        <f t="shared" si="0"/>
        <v>88.59627378182411</v>
      </c>
      <c r="G17" s="4"/>
      <c r="H17" s="4">
        <v>90.37</v>
      </c>
      <c r="I17" s="4"/>
      <c r="J17" s="11">
        <v>93.1</v>
      </c>
      <c r="K17" s="11"/>
      <c r="L17" s="4">
        <v>91.11</v>
      </c>
      <c r="M17" s="4"/>
      <c r="N17" s="4">
        <v>94.58</v>
      </c>
      <c r="O17" s="5"/>
      <c r="P17" s="14"/>
    </row>
    <row r="18" spans="1:16">
      <c r="A18" s="3" t="s">
        <v>12</v>
      </c>
      <c r="B18" s="4">
        <v>91.98346700313212</v>
      </c>
      <c r="C18" s="4">
        <v>72.208706043506382</v>
      </c>
      <c r="D18" s="4">
        <v>86.740000000000009</v>
      </c>
      <c r="E18" s="13">
        <v>1.0029619047619047</v>
      </c>
      <c r="F18" s="4">
        <f t="shared" si="0"/>
        <v>86.483843093314107</v>
      </c>
      <c r="G18" s="4"/>
      <c r="H18" s="4">
        <v>84.05</v>
      </c>
      <c r="I18" s="4"/>
      <c r="J18" s="11">
        <v>87.13</v>
      </c>
      <c r="K18" s="11"/>
      <c r="L18" s="4">
        <v>84.79</v>
      </c>
      <c r="M18" s="4"/>
      <c r="N18" s="4">
        <v>88.77</v>
      </c>
      <c r="O18" s="5"/>
      <c r="P18" s="14"/>
    </row>
    <row r="19" spans="1:16">
      <c r="A19" s="3" t="s">
        <v>13</v>
      </c>
      <c r="B19" s="4">
        <v>80.592797880776189</v>
      </c>
      <c r="C19" s="4">
        <v>57.254215220294292</v>
      </c>
      <c r="D19" s="4">
        <v>88.29047619047617</v>
      </c>
      <c r="E19" s="13">
        <v>1.0105578947368421</v>
      </c>
      <c r="F19" s="4">
        <f t="shared" si="0"/>
        <v>87.368053478487511</v>
      </c>
      <c r="G19" s="4"/>
      <c r="H19" s="11">
        <v>78.2</v>
      </c>
      <c r="I19" s="11"/>
      <c r="J19" s="11">
        <v>74.569999999999993</v>
      </c>
      <c r="K19" s="11"/>
      <c r="L19" s="4">
        <v>78.94</v>
      </c>
      <c r="M19" s="4"/>
      <c r="N19" s="4">
        <v>76.05</v>
      </c>
      <c r="O19" s="5"/>
      <c r="P19" s="14"/>
    </row>
    <row r="20" spans="1:16">
      <c r="A20" s="3" t="s">
        <v>14</v>
      </c>
      <c r="B20" s="4">
        <v>95.182325393659823</v>
      </c>
      <c r="C20" s="4">
        <v>61.595636543156509</v>
      </c>
      <c r="D20" s="4">
        <v>94.477619047619058</v>
      </c>
      <c r="E20" s="13">
        <v>1.0089199999999998</v>
      </c>
      <c r="F20" s="4">
        <f t="shared" si="0"/>
        <v>93.642329468757751</v>
      </c>
      <c r="G20" s="4"/>
      <c r="H20" s="4">
        <v>91.41</v>
      </c>
      <c r="I20" s="4"/>
      <c r="J20" s="11">
        <v>89.51</v>
      </c>
      <c r="K20" s="11"/>
      <c r="L20" s="4">
        <v>92.15</v>
      </c>
      <c r="M20" s="4"/>
      <c r="N20" s="4">
        <v>90.99</v>
      </c>
      <c r="O20" s="5">
        <v>96.576129032258095</v>
      </c>
      <c r="P20" s="5">
        <f>O20/E20</f>
        <v>95.722286239006181</v>
      </c>
    </row>
    <row r="21" spans="1:16">
      <c r="A21" s="3" t="s">
        <v>15</v>
      </c>
      <c r="B21" s="4">
        <v>96.547362332290348</v>
      </c>
      <c r="C21" s="4">
        <v>58.951903768338873</v>
      </c>
      <c r="D21" s="4">
        <v>95.333999999999989</v>
      </c>
      <c r="E21" s="13">
        <v>0.99036842105263156</v>
      </c>
      <c r="F21" s="4">
        <f t="shared" si="0"/>
        <v>96.261146835308494</v>
      </c>
      <c r="G21" s="4"/>
      <c r="H21" s="4">
        <v>92.02</v>
      </c>
      <c r="I21" s="4"/>
      <c r="J21" s="11">
        <v>88.13</v>
      </c>
      <c r="K21" s="11"/>
      <c r="L21" s="4">
        <v>92.76</v>
      </c>
      <c r="M21" s="4"/>
      <c r="N21" s="4">
        <v>89.61</v>
      </c>
      <c r="O21" s="5">
        <v>97.200000000000031</v>
      </c>
      <c r="P21" s="5">
        <f t="shared" ref="P21:P51" si="1">O21/E21</f>
        <v>98.145294148907936</v>
      </c>
    </row>
    <row r="22" spans="1:16">
      <c r="A22" s="3" t="s">
        <v>16</v>
      </c>
      <c r="B22" s="4">
        <v>96.609337234044261</v>
      </c>
      <c r="C22" s="4">
        <v>68.3450741341656</v>
      </c>
      <c r="D22" s="4">
        <v>93.237142857142871</v>
      </c>
      <c r="E22" s="13">
        <v>0.97589500000000007</v>
      </c>
      <c r="F22" s="4">
        <f t="shared" si="0"/>
        <v>95.54013788075855</v>
      </c>
      <c r="G22" s="4"/>
      <c r="H22" s="4">
        <v>93.07</v>
      </c>
      <c r="I22" s="4"/>
      <c r="J22" s="11">
        <v>88.64</v>
      </c>
      <c r="K22" s="11"/>
      <c r="L22" s="4">
        <v>93.81</v>
      </c>
      <c r="M22" s="4"/>
      <c r="N22" s="4">
        <v>90.12</v>
      </c>
      <c r="O22" s="5">
        <v>95.139032258064532</v>
      </c>
      <c r="P22" s="5">
        <f t="shared" si="1"/>
        <v>97.489004716762068</v>
      </c>
    </row>
    <row r="23" spans="1:16">
      <c r="A23" s="3" t="s">
        <v>17</v>
      </c>
      <c r="B23" s="4">
        <v>100.08787723248693</v>
      </c>
      <c r="C23" s="4">
        <v>70.122217684458761</v>
      </c>
      <c r="D23" s="4">
        <v>92.059047619047618</v>
      </c>
      <c r="E23" s="13">
        <v>0.98115714285714284</v>
      </c>
      <c r="F23" s="4">
        <f t="shared" si="0"/>
        <v>93.827016690690783</v>
      </c>
      <c r="G23" s="4"/>
      <c r="H23" s="4">
        <v>93.66</v>
      </c>
      <c r="I23" s="4"/>
      <c r="J23" s="11">
        <v>91.11</v>
      </c>
      <c r="K23" s="11"/>
      <c r="L23" s="4">
        <v>94.4</v>
      </c>
      <c r="M23" s="4"/>
      <c r="N23" s="4">
        <v>92.59</v>
      </c>
      <c r="O23" s="5">
        <v>93.749666666666684</v>
      </c>
      <c r="P23" s="5">
        <f t="shared" si="1"/>
        <v>95.550103619147478</v>
      </c>
    </row>
    <row r="24" spans="1:16">
      <c r="A24" s="3" t="s">
        <v>18</v>
      </c>
      <c r="B24" s="4">
        <v>105.23338317810476</v>
      </c>
      <c r="C24" s="4">
        <v>82.499717934742023</v>
      </c>
      <c r="D24" s="4">
        <v>94.854545454545459</v>
      </c>
      <c r="E24" s="13">
        <v>0.98140000000000005</v>
      </c>
      <c r="F24" s="4">
        <f t="shared" si="0"/>
        <v>96.652277822035316</v>
      </c>
      <c r="G24" s="4"/>
      <c r="H24" s="4">
        <v>96.55</v>
      </c>
      <c r="I24" s="4"/>
      <c r="J24" s="11">
        <v>94</v>
      </c>
      <c r="K24" s="11"/>
      <c r="L24" s="4">
        <v>95.48</v>
      </c>
      <c r="M24" s="4"/>
      <c r="N24" s="4">
        <v>97.3</v>
      </c>
      <c r="O24" s="5">
        <v>96.48</v>
      </c>
      <c r="P24" s="5">
        <f t="shared" si="1"/>
        <v>98.308538822090895</v>
      </c>
    </row>
    <row r="25" spans="1:16">
      <c r="A25" s="3" t="s">
        <v>19</v>
      </c>
      <c r="B25" s="4">
        <v>98.869037497993759</v>
      </c>
      <c r="C25" s="4">
        <v>77.095188681793829</v>
      </c>
      <c r="D25" s="4">
        <v>95.957058823529408</v>
      </c>
      <c r="E25" s="13">
        <v>0.96965500000000004</v>
      </c>
      <c r="F25" s="4">
        <f t="shared" si="0"/>
        <v>98.960000024265753</v>
      </c>
      <c r="G25" s="4"/>
      <c r="H25" s="4">
        <v>98.69</v>
      </c>
      <c r="I25" s="4"/>
      <c r="J25" s="11">
        <v>96.11</v>
      </c>
      <c r="K25" s="11"/>
      <c r="L25" s="4">
        <v>99.43</v>
      </c>
      <c r="M25" s="4"/>
      <c r="N25" s="4">
        <v>97.59</v>
      </c>
      <c r="O25" s="5">
        <v>96.97</v>
      </c>
      <c r="P25" s="5">
        <f t="shared" si="1"/>
        <v>100.00464082586073</v>
      </c>
    </row>
    <row r="26" spans="1:16">
      <c r="A26" s="3" t="s">
        <v>20</v>
      </c>
      <c r="B26" s="4">
        <v>113.06191251714071</v>
      </c>
      <c r="C26" s="4">
        <v>94.128021344427623</v>
      </c>
      <c r="D26" s="4">
        <v>104.69863636363638</v>
      </c>
      <c r="E26" s="13">
        <v>0.96145652173913032</v>
      </c>
      <c r="F26" s="4">
        <f t="shared" si="0"/>
        <v>108.8958616394346</v>
      </c>
      <c r="G26" s="4"/>
      <c r="H26" s="4">
        <v>108.7</v>
      </c>
      <c r="I26" s="4"/>
      <c r="J26" s="11">
        <v>106.11</v>
      </c>
      <c r="K26" s="11"/>
      <c r="L26" s="4">
        <v>109.44</v>
      </c>
      <c r="M26" s="4"/>
      <c r="N26" s="4">
        <v>107.59</v>
      </c>
      <c r="O26" s="5">
        <v>105.45</v>
      </c>
      <c r="P26" s="5">
        <f t="shared" si="1"/>
        <v>109.67734641734688</v>
      </c>
    </row>
    <row r="27" spans="1:16">
      <c r="A27" s="3" t="s">
        <v>21</v>
      </c>
      <c r="B27" s="4">
        <v>112.95190476190477</v>
      </c>
      <c r="C27" s="4">
        <v>94.645247024217667</v>
      </c>
      <c r="D27" s="4">
        <v>106.53909090909092</v>
      </c>
      <c r="E27" s="13">
        <v>0.96116818181818209</v>
      </c>
      <c r="F27" s="4">
        <f t="shared" si="0"/>
        <v>110.84333930775522</v>
      </c>
      <c r="G27" s="4"/>
      <c r="H27" s="4">
        <v>110.68</v>
      </c>
      <c r="I27" s="4"/>
      <c r="J27" s="11">
        <v>108.08</v>
      </c>
      <c r="K27" s="11"/>
      <c r="L27" s="4">
        <v>111.42</v>
      </c>
      <c r="M27" s="4"/>
      <c r="N27" s="4">
        <v>109.56</v>
      </c>
      <c r="O27" s="5">
        <v>107.02</v>
      </c>
      <c r="P27" s="5">
        <f t="shared" si="1"/>
        <v>111.34367743796608</v>
      </c>
    </row>
    <row r="28" spans="1:16">
      <c r="A28" s="3" t="s">
        <v>22</v>
      </c>
      <c r="B28" s="4">
        <v>106.7375</v>
      </c>
      <c r="C28" s="4">
        <v>86.507431782888418</v>
      </c>
      <c r="D28" s="4">
        <v>106.2355</v>
      </c>
      <c r="E28" s="13">
        <v>0.96592857142857136</v>
      </c>
      <c r="F28" s="4">
        <f t="shared" si="0"/>
        <v>109.98277009539305</v>
      </c>
      <c r="G28" s="4"/>
      <c r="H28" s="4">
        <v>109.66</v>
      </c>
      <c r="I28" s="4"/>
      <c r="J28" s="11">
        <v>107.08</v>
      </c>
      <c r="K28" s="11"/>
      <c r="L28" s="4">
        <v>110.4</v>
      </c>
      <c r="M28" s="4"/>
      <c r="N28" s="4">
        <v>108.56</v>
      </c>
      <c r="O28" s="5">
        <v>106.2</v>
      </c>
      <c r="P28" s="5">
        <f t="shared" si="1"/>
        <v>109.94601789543741</v>
      </c>
    </row>
    <row r="29" spans="1:16">
      <c r="A29" s="3" t="s">
        <v>23</v>
      </c>
      <c r="B29" s="4">
        <v>93.691304347826076</v>
      </c>
      <c r="C29" s="4">
        <v>76.922695582025241</v>
      </c>
      <c r="D29" s="4">
        <v>100.55260869565215</v>
      </c>
      <c r="E29" s="13">
        <v>0.96473478260869572</v>
      </c>
      <c r="F29" s="4">
        <f t="shared" si="0"/>
        <v>104.22824024624923</v>
      </c>
      <c r="G29" s="4"/>
      <c r="H29" s="4">
        <v>103.99</v>
      </c>
      <c r="I29" s="4"/>
      <c r="J29" s="11">
        <v>101.41</v>
      </c>
      <c r="K29" s="11"/>
      <c r="L29" s="4">
        <v>104.73</v>
      </c>
      <c r="M29" s="4"/>
      <c r="N29" s="4">
        <v>102.89</v>
      </c>
      <c r="O29" s="5">
        <v>99.7</v>
      </c>
      <c r="P29" s="5">
        <f t="shared" si="1"/>
        <v>103.34446502530544</v>
      </c>
    </row>
    <row r="30" spans="1:16">
      <c r="A30" s="3" t="s">
        <v>24</v>
      </c>
      <c r="B30" s="4">
        <v>84.782857142857154</v>
      </c>
      <c r="C30" s="4">
        <v>65.673833245936024</v>
      </c>
      <c r="D30" s="4">
        <v>93.931499999999986</v>
      </c>
      <c r="E30" s="13">
        <v>0.9534999999999999</v>
      </c>
      <c r="F30" s="4">
        <f t="shared" si="0"/>
        <v>98.512323020450964</v>
      </c>
      <c r="G30" s="4"/>
      <c r="H30" s="4">
        <v>98.33</v>
      </c>
      <c r="I30" s="4"/>
      <c r="J30" s="11">
        <v>95.71</v>
      </c>
      <c r="K30" s="11"/>
      <c r="L30" s="4">
        <v>99.07</v>
      </c>
      <c r="M30" s="4"/>
      <c r="N30" s="4">
        <v>97.19</v>
      </c>
      <c r="O30" s="5">
        <v>92.98</v>
      </c>
      <c r="P30" s="5">
        <f t="shared" si="1"/>
        <v>97.514420555846897</v>
      </c>
    </row>
    <row r="31" spans="1:16">
      <c r="A31" s="3" t="s">
        <v>25</v>
      </c>
      <c r="B31" s="4">
        <v>97.692499999999995</v>
      </c>
      <c r="C31" s="4">
        <v>62.714003220020203</v>
      </c>
      <c r="D31" s="4">
        <v>97.894285714285701</v>
      </c>
      <c r="E31" s="13">
        <v>0.94014090909090919</v>
      </c>
      <c r="F31" s="4">
        <f t="shared" si="0"/>
        <v>104.12724812597169</v>
      </c>
      <c r="G31" s="4"/>
      <c r="H31" s="4">
        <v>87.76</v>
      </c>
      <c r="I31" s="4"/>
      <c r="J31" s="11">
        <v>84.34</v>
      </c>
      <c r="K31" s="11"/>
      <c r="L31" s="4">
        <v>88.49</v>
      </c>
      <c r="M31" s="4"/>
      <c r="N31" s="4">
        <v>85.82</v>
      </c>
      <c r="O31" s="5">
        <v>96.56</v>
      </c>
      <c r="P31" s="5">
        <f t="shared" si="1"/>
        <v>102.70800798719726</v>
      </c>
    </row>
    <row r="32" spans="1:16">
      <c r="A32" s="3" t="s">
        <v>26</v>
      </c>
      <c r="B32" s="4">
        <v>105.19363636363636</v>
      </c>
      <c r="C32" s="4">
        <v>71.836856632983043</v>
      </c>
      <c r="D32" s="4">
        <v>94.856666666666669</v>
      </c>
      <c r="E32" s="13">
        <v>0.91482173913043463</v>
      </c>
      <c r="F32" s="4">
        <f t="shared" si="0"/>
        <v>103.68868885519791</v>
      </c>
      <c r="G32" s="4"/>
      <c r="H32" s="4">
        <v>93.77</v>
      </c>
      <c r="I32" s="4"/>
      <c r="J32" s="11">
        <v>91.31</v>
      </c>
      <c r="K32" s="11"/>
      <c r="L32" s="4">
        <v>94.51</v>
      </c>
      <c r="M32" s="4"/>
      <c r="N32" s="4">
        <v>92.79</v>
      </c>
      <c r="O32" s="5">
        <v>92.97</v>
      </c>
      <c r="P32" s="5">
        <f t="shared" si="1"/>
        <v>101.62635628704096</v>
      </c>
    </row>
    <row r="33" spans="1:16">
      <c r="A33" s="3" t="s">
        <v>27</v>
      </c>
      <c r="B33" s="4">
        <v>109.36736842105263</v>
      </c>
      <c r="C33" s="4">
        <v>90.090848849571017</v>
      </c>
      <c r="D33" s="4">
        <v>100.67526315789473</v>
      </c>
      <c r="E33" s="13">
        <v>0.90473499999999996</v>
      </c>
      <c r="F33" s="4">
        <f t="shared" si="0"/>
        <v>111.27596827567712</v>
      </c>
      <c r="G33" s="4"/>
      <c r="H33" s="4">
        <v>110.04</v>
      </c>
      <c r="I33" s="4"/>
      <c r="J33" s="11">
        <v>107.71</v>
      </c>
      <c r="K33" s="11"/>
      <c r="L33" s="4">
        <v>110.78</v>
      </c>
      <c r="M33" s="4"/>
      <c r="N33" s="4">
        <v>109.19</v>
      </c>
      <c r="O33" s="5">
        <v>98.46</v>
      </c>
      <c r="P33" s="5">
        <f t="shared" si="1"/>
        <v>108.82744671091535</v>
      </c>
    </row>
    <row r="34" spans="1:16">
      <c r="A34" s="3" t="s">
        <v>28</v>
      </c>
      <c r="B34" s="4">
        <v>110.58047619047619</v>
      </c>
      <c r="C34" s="4">
        <v>88.164859595065522</v>
      </c>
      <c r="D34" s="4">
        <v>100.50904761904765</v>
      </c>
      <c r="E34" s="13">
        <v>0.90026190476190471</v>
      </c>
      <c r="F34" s="4">
        <f t="shared" si="0"/>
        <v>111.64423051492956</v>
      </c>
      <c r="G34" s="4"/>
      <c r="H34" s="4">
        <v>108.67</v>
      </c>
      <c r="I34" s="4"/>
      <c r="J34" s="11">
        <v>104.58</v>
      </c>
      <c r="K34" s="11"/>
      <c r="L34" s="4">
        <v>109.41</v>
      </c>
      <c r="M34" s="4"/>
      <c r="N34" s="4">
        <v>106.06</v>
      </c>
      <c r="O34" s="5">
        <v>98.89</v>
      </c>
      <c r="P34" s="5">
        <f t="shared" si="1"/>
        <v>109.84581206527201</v>
      </c>
    </row>
    <row r="35" spans="1:16">
      <c r="A35" s="3" t="s">
        <v>29</v>
      </c>
      <c r="B35" s="4">
        <v>118.83619047619045</v>
      </c>
      <c r="C35" s="4">
        <v>87.405269773569131</v>
      </c>
      <c r="D35" s="4">
        <v>102.03476190476188</v>
      </c>
      <c r="E35" s="13">
        <v>0.90982272727272706</v>
      </c>
      <c r="F35" s="4">
        <f t="shared" si="0"/>
        <v>112.14795898825255</v>
      </c>
      <c r="G35" s="4"/>
      <c r="H35" s="4">
        <v>107.31</v>
      </c>
      <c r="I35" s="4"/>
      <c r="J35" s="11">
        <v>102.85</v>
      </c>
      <c r="K35" s="11"/>
      <c r="L35" s="4">
        <v>108.05</v>
      </c>
      <c r="M35" s="4"/>
      <c r="N35" s="4">
        <v>104.33</v>
      </c>
      <c r="O35" s="5">
        <v>100.72</v>
      </c>
      <c r="P35" s="5">
        <f t="shared" si="1"/>
        <v>110.70288417823654</v>
      </c>
    </row>
    <row r="36" spans="1:16">
      <c r="A36" s="3" t="s">
        <v>41</v>
      </c>
      <c r="B36" s="4">
        <v>111.48857142857139</v>
      </c>
      <c r="C36" s="4">
        <v>90.081314249301201</v>
      </c>
      <c r="D36" s="4">
        <v>101.79476190476188</v>
      </c>
      <c r="E36" s="13">
        <v>0.91829090909090894</v>
      </c>
      <c r="F36" s="4">
        <f t="shared" si="0"/>
        <v>110.85241168894596</v>
      </c>
      <c r="G36" s="4">
        <v>696.19</v>
      </c>
      <c r="H36" s="4">
        <f t="shared" ref="H36:H37" si="2">G36/6.2897</f>
        <v>110.68731418032658</v>
      </c>
      <c r="I36" s="4">
        <v>677.08</v>
      </c>
      <c r="J36" s="4">
        <f t="shared" ref="J36:L39" si="3">I36/6.2897</f>
        <v>107.64901346646104</v>
      </c>
      <c r="K36" s="11">
        <v>700.85</v>
      </c>
      <c r="L36" s="4">
        <f t="shared" si="3"/>
        <v>111.42820802264019</v>
      </c>
      <c r="M36" s="4">
        <v>686.39</v>
      </c>
      <c r="N36" s="4">
        <f t="shared" ref="N36" si="4">M36/6.2897</f>
        <v>109.12921125013912</v>
      </c>
      <c r="O36" s="5">
        <v>100.34</v>
      </c>
      <c r="P36" s="5">
        <f t="shared" si="1"/>
        <v>109.26820575773178</v>
      </c>
    </row>
    <row r="37" spans="1:16">
      <c r="A37" s="3" t="s">
        <v>42</v>
      </c>
      <c r="B37" s="4">
        <v>111.30809523809523</v>
      </c>
      <c r="C37" s="4">
        <v>93.688571351386585</v>
      </c>
      <c r="D37" s="4">
        <v>105.14666666666666</v>
      </c>
      <c r="E37" s="13">
        <v>0.92103529411764706</v>
      </c>
      <c r="F37" s="4">
        <f t="shared" si="0"/>
        <v>114.16138701546426</v>
      </c>
      <c r="G37" s="4">
        <v>702.45</v>
      </c>
      <c r="H37" s="4">
        <f t="shared" si="2"/>
        <v>111.68259217450753</v>
      </c>
      <c r="I37" s="4">
        <v>690.76</v>
      </c>
      <c r="J37" s="4">
        <f t="shared" si="3"/>
        <v>109.82399796492679</v>
      </c>
      <c r="K37" s="11">
        <v>707.11</v>
      </c>
      <c r="L37" s="4">
        <f t="shared" si="3"/>
        <v>112.42348601682116</v>
      </c>
      <c r="M37" s="4">
        <v>700.07</v>
      </c>
      <c r="N37" s="4">
        <f t="shared" ref="N37" si="5">M37/6.2897</f>
        <v>111.30419574860487</v>
      </c>
      <c r="O37" s="5">
        <v>103.7</v>
      </c>
      <c r="P37" s="5">
        <f t="shared" si="1"/>
        <v>112.59069078275087</v>
      </c>
    </row>
    <row r="38" spans="1:16">
      <c r="A38" s="3" t="s">
        <v>43</v>
      </c>
      <c r="B38" s="4">
        <v>106.56133333333332</v>
      </c>
      <c r="C38" s="4">
        <v>88.800499613054129</v>
      </c>
      <c r="D38" s="4">
        <v>102.66250000000001</v>
      </c>
      <c r="E38" s="13">
        <v>0.93559999999999988</v>
      </c>
      <c r="F38" s="4">
        <f t="shared" si="0"/>
        <v>109.72905087644295</v>
      </c>
      <c r="G38" s="4">
        <v>669.47</v>
      </c>
      <c r="H38" s="4">
        <f>G38/6.2897</f>
        <v>106.43909884414202</v>
      </c>
      <c r="I38" s="4">
        <v>653.42999999999995</v>
      </c>
      <c r="J38" s="4">
        <f t="shared" si="3"/>
        <v>103.88889772167194</v>
      </c>
      <c r="K38" s="11">
        <v>674.13</v>
      </c>
      <c r="L38" s="4">
        <f t="shared" si="3"/>
        <v>107.17999268645563</v>
      </c>
      <c r="M38" s="4">
        <v>662.74</v>
      </c>
      <c r="N38" s="4">
        <f t="shared" ref="N38:N39" si="6">M38/6.2897</f>
        <v>105.36909550535002</v>
      </c>
      <c r="O38" s="5">
        <v>101.38</v>
      </c>
      <c r="P38" s="5">
        <f t="shared" si="1"/>
        <v>108.35827276613938</v>
      </c>
    </row>
    <row r="39" spans="1:16">
      <c r="A39" s="3" t="s">
        <v>44</v>
      </c>
      <c r="B39" s="4">
        <v>101.86050000000002</v>
      </c>
      <c r="C39" s="4">
        <v>80.700856683834246</v>
      </c>
      <c r="D39" s="4">
        <v>96.076190476190476</v>
      </c>
      <c r="E39" s="13">
        <v>0.91550476190476193</v>
      </c>
      <c r="F39" s="4">
        <f t="shared" si="0"/>
        <v>104.94340878828228</v>
      </c>
      <c r="G39" s="4">
        <v>628.44000000000005</v>
      </c>
      <c r="H39" s="4">
        <f>G39/6.2897</f>
        <v>99.915735249693952</v>
      </c>
      <c r="I39" s="4">
        <v>608.6</v>
      </c>
      <c r="J39" s="4">
        <f t="shared" si="3"/>
        <v>96.761371766538957</v>
      </c>
      <c r="K39" s="11">
        <v>633.1</v>
      </c>
      <c r="L39" s="4">
        <f t="shared" si="3"/>
        <v>100.65662909200758</v>
      </c>
      <c r="M39" s="4">
        <v>617.91</v>
      </c>
      <c r="N39" s="4">
        <f t="shared" si="6"/>
        <v>98.241569550217022</v>
      </c>
      <c r="O39" s="5">
        <v>95.21</v>
      </c>
      <c r="P39" s="5">
        <f t="shared" si="1"/>
        <v>103.99727446737683</v>
      </c>
    </row>
    <row r="40" spans="1:16">
      <c r="A40" s="3" t="s">
        <v>52</v>
      </c>
      <c r="B40" s="4">
        <v>101.78571428571429</v>
      </c>
      <c r="C40" s="4">
        <v>81.838652316033858</v>
      </c>
      <c r="D40" s="4">
        <v>93.034285714285701</v>
      </c>
      <c r="E40" s="13">
        <v>0.89179130434782583</v>
      </c>
      <c r="F40" s="4">
        <f t="shared" ref="F40" si="7">D40/E40</f>
        <v>104.32293436895802</v>
      </c>
      <c r="G40" s="4">
        <v>615.51</v>
      </c>
      <c r="H40" s="4">
        <f>G40/6.2897</f>
        <v>97.859993322416017</v>
      </c>
      <c r="I40" s="4">
        <v>597.88</v>
      </c>
      <c r="J40" s="4">
        <f t="shared" ref="J40" si="8">I40/6.2897</f>
        <v>95.056997949027775</v>
      </c>
      <c r="K40" s="11">
        <v>620.16999999999996</v>
      </c>
      <c r="L40" s="4">
        <f t="shared" ref="L40" si="9">K40/6.2897</f>
        <v>98.600887164729627</v>
      </c>
      <c r="M40" s="4">
        <v>607.19000000000005</v>
      </c>
      <c r="N40" s="4">
        <f t="shared" ref="N40" si="10">M40/6.2897</f>
        <v>96.537195732705868</v>
      </c>
      <c r="O40" s="5">
        <v>92.09</v>
      </c>
      <c r="P40" s="5">
        <f t="shared" si="1"/>
        <v>103.26407036155859</v>
      </c>
    </row>
    <row r="41" spans="1:16">
      <c r="A41" s="3" t="s">
        <v>53</v>
      </c>
      <c r="B41" s="4">
        <v>93.765000000000001</v>
      </c>
      <c r="C41" s="4">
        <v>79.121291239132546</v>
      </c>
      <c r="D41" s="4">
        <v>84.339130434782604</v>
      </c>
      <c r="E41" s="13">
        <v>0.88253000000000004</v>
      </c>
      <c r="F41" s="4">
        <f t="shared" ref="F41:F43" si="11">D41/E41</f>
        <v>95.565171081756546</v>
      </c>
      <c r="G41" s="4">
        <v>590.27</v>
      </c>
      <c r="H41" s="4">
        <f t="shared" ref="H41:H43" si="12">G41/6.2897</f>
        <v>93.847083326708741</v>
      </c>
      <c r="I41" s="4">
        <v>568.5</v>
      </c>
      <c r="J41" s="4">
        <f t="shared" ref="J41:J43" si="13">I41/6.2897</f>
        <v>90.385868960363766</v>
      </c>
      <c r="K41" s="11">
        <v>594.92999999999995</v>
      </c>
      <c r="L41" s="4">
        <f t="shared" ref="L41:L43" si="14">K41/6.2897</f>
        <v>94.587977169022366</v>
      </c>
      <c r="M41" s="4">
        <v>577.80999999999995</v>
      </c>
      <c r="N41" s="4">
        <f t="shared" ref="N41:N43" si="15">M41/6.2897</f>
        <v>91.866066744041845</v>
      </c>
      <c r="O41" s="5">
        <v>83.47</v>
      </c>
      <c r="P41" s="5">
        <f t="shared" si="1"/>
        <v>94.580354208922074</v>
      </c>
    </row>
    <row r="42" spans="1:16">
      <c r="A42" s="3" t="s">
        <v>54</v>
      </c>
      <c r="B42" s="4">
        <v>81.090555555555568</v>
      </c>
      <c r="C42" s="4">
        <v>71.175791014274878</v>
      </c>
      <c r="D42" s="4">
        <v>75.81</v>
      </c>
      <c r="E42" s="13">
        <v>0.86630434782608678</v>
      </c>
      <c r="F42" s="4">
        <f t="shared" si="11"/>
        <v>87.509661229611055</v>
      </c>
      <c r="G42" s="4">
        <v>529.96</v>
      </c>
      <c r="H42" s="4">
        <f t="shared" si="12"/>
        <v>84.258390702259263</v>
      </c>
      <c r="I42" s="4">
        <v>509.19</v>
      </c>
      <c r="J42" s="4">
        <f t="shared" si="13"/>
        <v>80.95616643083136</v>
      </c>
      <c r="K42" s="11">
        <v>534.62</v>
      </c>
      <c r="L42" s="4">
        <f t="shared" si="14"/>
        <v>84.999284544572873</v>
      </c>
      <c r="M42" s="4">
        <v>518.5</v>
      </c>
      <c r="N42" s="4">
        <f t="shared" si="15"/>
        <v>82.436364214509439</v>
      </c>
      <c r="O42" s="5">
        <v>74.650000000000006</v>
      </c>
      <c r="P42" s="5">
        <f t="shared" si="1"/>
        <v>86.170639899623609</v>
      </c>
    </row>
    <row r="43" spans="1:16">
      <c r="A43" s="3" t="s">
        <v>55</v>
      </c>
      <c r="B43" s="4">
        <v>65.914999999999992</v>
      </c>
      <c r="C43" s="4">
        <v>49.861192111071738</v>
      </c>
      <c r="D43" s="4">
        <v>59.28954545454544</v>
      </c>
      <c r="E43" s="13">
        <v>0.9054242724237257</v>
      </c>
      <c r="F43" s="4">
        <f t="shared" si="11"/>
        <v>65.482611036960108</v>
      </c>
      <c r="G43" s="4">
        <v>391.11</v>
      </c>
      <c r="H43" s="4">
        <f t="shared" si="12"/>
        <v>62.182616023021772</v>
      </c>
      <c r="I43" s="4">
        <v>371.49</v>
      </c>
      <c r="J43" s="4">
        <f t="shared" si="13"/>
        <v>59.063230360748527</v>
      </c>
      <c r="K43" s="11">
        <v>395.77</v>
      </c>
      <c r="L43" s="4">
        <f t="shared" si="14"/>
        <v>62.92350986533539</v>
      </c>
      <c r="M43" s="4">
        <v>380.8</v>
      </c>
      <c r="N43" s="4">
        <f t="shared" si="15"/>
        <v>60.543428144426606</v>
      </c>
      <c r="O43" s="5">
        <v>58.03</v>
      </c>
      <c r="P43" s="5">
        <f t="shared" si="1"/>
        <v>64.091500269436978</v>
      </c>
    </row>
    <row r="44" spans="1:16">
      <c r="A44" s="3" t="s">
        <v>58</v>
      </c>
      <c r="B44" s="4">
        <v>53.64</v>
      </c>
      <c r="C44" s="4">
        <v>36.846462742754895</v>
      </c>
      <c r="D44" s="4">
        <v>47.33</v>
      </c>
      <c r="E44" s="13">
        <v>0.82672272727272711</v>
      </c>
      <c r="F44" s="4">
        <f t="shared" ref="F44" si="16">D44/E44</f>
        <v>57.250149824883586</v>
      </c>
      <c r="G44" s="4">
        <v>337.23</v>
      </c>
      <c r="H44" s="4">
        <f t="shared" ref="H44" si="17">G44/6.2897</f>
        <v>53.616229708889144</v>
      </c>
      <c r="I44" s="4">
        <v>316.77999999999997</v>
      </c>
      <c r="J44" s="4">
        <f t="shared" ref="J44" si="18">I44/6.2897</f>
        <v>50.364882267834709</v>
      </c>
      <c r="K44" s="11">
        <v>341.89</v>
      </c>
      <c r="L44" s="4">
        <f t="shared" ref="L44" si="19">K44/6.2897</f>
        <v>54.357123551202761</v>
      </c>
      <c r="M44" s="4">
        <v>326.08999999999997</v>
      </c>
      <c r="N44" s="4">
        <f t="shared" ref="N44" si="20">M44/6.2897</f>
        <v>51.845080051512788</v>
      </c>
      <c r="O44" s="5">
        <v>46.98</v>
      </c>
      <c r="P44" s="5">
        <f t="shared" si="1"/>
        <v>56.826791438263911</v>
      </c>
    </row>
    <row r="45" spans="1:16">
      <c r="A45" s="3" t="s">
        <v>59</v>
      </c>
      <c r="B45" s="4">
        <v>60.39</v>
      </c>
      <c r="C45" s="4">
        <v>45.635775091492441</v>
      </c>
      <c r="D45" s="4">
        <v>50.72</v>
      </c>
      <c r="E45" s="13">
        <v>0.79995499999999986</v>
      </c>
      <c r="F45" s="4">
        <f t="shared" ref="F45" si="21">D45/E45</f>
        <v>63.403566450612857</v>
      </c>
      <c r="G45" s="4">
        <v>373.05</v>
      </c>
      <c r="H45" s="4">
        <f t="shared" ref="H45" si="22">G45/6.2897</f>
        <v>59.311254908819187</v>
      </c>
      <c r="I45" s="4">
        <v>354.71</v>
      </c>
      <c r="J45" s="4">
        <f t="shared" ref="J45" si="23">I45/6.2897</f>
        <v>56.395376568039808</v>
      </c>
      <c r="K45" s="11">
        <v>377.71</v>
      </c>
      <c r="L45" s="4">
        <f t="shared" ref="L45" si="24">K45/6.2897</f>
        <v>60.052148751132805</v>
      </c>
      <c r="M45" s="4">
        <v>364.02</v>
      </c>
      <c r="N45" s="4">
        <f t="shared" ref="N45" si="25">M45/6.2897</f>
        <v>57.875574351717887</v>
      </c>
      <c r="O45" s="5">
        <v>49.86</v>
      </c>
      <c r="P45" s="5">
        <f t="shared" si="1"/>
        <v>62.328505978461301</v>
      </c>
    </row>
    <row r="46" spans="1:16">
      <c r="A46" s="3" t="s">
        <v>60</v>
      </c>
      <c r="B46" s="4">
        <v>62.2</v>
      </c>
      <c r="C46" s="4">
        <v>43.909723515372448</v>
      </c>
      <c r="D46" s="4">
        <v>47.85</v>
      </c>
      <c r="E46" s="13">
        <v>0.79294545454545462</v>
      </c>
      <c r="F46" s="4">
        <f t="shared" ref="F46" si="26">D46/E46</f>
        <v>60.344629918371083</v>
      </c>
      <c r="G46" s="4">
        <v>361.12</v>
      </c>
      <c r="H46" s="4">
        <f t="shared" ref="H46" si="27">G46/6.2897</f>
        <v>57.414503076458338</v>
      </c>
      <c r="I46" s="4">
        <v>346.26</v>
      </c>
      <c r="J46" s="4">
        <f t="shared" ref="J46" si="28">I46/6.2897</f>
        <v>55.051910265990429</v>
      </c>
      <c r="K46" s="11">
        <v>365.78</v>
      </c>
      <c r="L46" s="4">
        <f t="shared" ref="L46" si="29">K46/6.2897</f>
        <v>58.155396918771956</v>
      </c>
      <c r="M46" s="4">
        <v>355.57</v>
      </c>
      <c r="N46" s="4">
        <f t="shared" ref="N46" si="30">M46/6.2897</f>
        <v>56.532108049668508</v>
      </c>
      <c r="O46" s="5">
        <v>46.76</v>
      </c>
      <c r="P46" s="5">
        <f t="shared" si="1"/>
        <v>58.970008254608814</v>
      </c>
    </row>
    <row r="47" spans="1:16">
      <c r="A47" s="3" t="s">
        <v>61</v>
      </c>
      <c r="B47" s="4">
        <v>69.849999999999994</v>
      </c>
      <c r="C47" s="4">
        <v>49.998865960422449</v>
      </c>
      <c r="D47" s="4">
        <v>54.4</v>
      </c>
      <c r="E47" s="13">
        <v>0.8099857142857142</v>
      </c>
      <c r="F47" s="4">
        <f t="shared" ref="F47" si="31">D47/E47</f>
        <v>67.161678336478602</v>
      </c>
      <c r="G47" s="4">
        <v>417.77</v>
      </c>
      <c r="H47" s="4">
        <f t="shared" ref="H47" si="32">G47/6.2897</f>
        <v>66.4212919535113</v>
      </c>
      <c r="I47" s="4">
        <v>390.82</v>
      </c>
      <c r="J47" s="4">
        <f t="shared" ref="J47" si="33">I47/6.2897</f>
        <v>62.136508895495808</v>
      </c>
      <c r="K47" s="11">
        <v>422.43</v>
      </c>
      <c r="L47" s="4">
        <f t="shared" ref="L47" si="34">K47/6.2897</f>
        <v>67.162185795824925</v>
      </c>
      <c r="M47" s="4">
        <v>400.13</v>
      </c>
      <c r="N47" s="4">
        <f t="shared" ref="N47" si="35">M47/6.2897</f>
        <v>63.616706679173888</v>
      </c>
      <c r="O47" s="5">
        <v>53.12</v>
      </c>
      <c r="P47" s="5">
        <f t="shared" si="1"/>
        <v>65.581403552090876</v>
      </c>
    </row>
    <row r="48" spans="1:16">
      <c r="A48" s="3" t="s">
        <v>62</v>
      </c>
      <c r="B48" s="4">
        <v>76.83</v>
      </c>
      <c r="C48" s="4">
        <v>57.767570206250809</v>
      </c>
      <c r="D48" s="4">
        <v>59.37</v>
      </c>
      <c r="E48" s="13">
        <v>0.82110000000000005</v>
      </c>
      <c r="F48" s="4">
        <f t="shared" ref="F48" si="36">D48/E48</f>
        <v>72.305443916697101</v>
      </c>
      <c r="G48" s="4">
        <v>465.38</v>
      </c>
      <c r="H48" s="4">
        <f t="shared" ref="H48" si="37">G48/6.2897</f>
        <v>73.990810372513792</v>
      </c>
      <c r="I48" s="4">
        <v>435.22</v>
      </c>
      <c r="J48" s="4">
        <f t="shared" ref="J48" si="38">I48/6.2897</f>
        <v>69.19566910981446</v>
      </c>
      <c r="K48" s="11">
        <v>470.04</v>
      </c>
      <c r="L48" s="4">
        <f t="shared" ref="L48" si="39">K48/6.2897</f>
        <v>74.731704214827417</v>
      </c>
      <c r="M48" s="4">
        <v>444.53</v>
      </c>
      <c r="N48" s="4">
        <f t="shared" ref="N48" si="40">M48/6.2897</f>
        <v>70.67586689349254</v>
      </c>
      <c r="O48" s="5">
        <v>58.47</v>
      </c>
      <c r="P48" s="5">
        <f t="shared" si="1"/>
        <v>71.209353306539995</v>
      </c>
    </row>
    <row r="49" spans="1:18">
      <c r="A49" s="3" t="s">
        <v>63</v>
      </c>
      <c r="B49" s="4">
        <v>76.44</v>
      </c>
      <c r="C49" s="4">
        <v>63.368975884251107</v>
      </c>
      <c r="D49" s="4">
        <v>59.83</v>
      </c>
      <c r="E49" s="13">
        <v>0.80940000000000001</v>
      </c>
      <c r="F49" s="4">
        <f t="shared" ref="F49" si="41">D49/E49</f>
        <v>73.918952310353347</v>
      </c>
      <c r="G49" s="4">
        <v>491.64</v>
      </c>
      <c r="H49" s="4">
        <f t="shared" ref="H49" si="42">G49/6.2897</f>
        <v>78.165890265036495</v>
      </c>
      <c r="I49" s="4">
        <v>465</v>
      </c>
      <c r="J49" s="4">
        <f t="shared" ref="J49" si="43">I49/6.2897</f>
        <v>73.930394136445301</v>
      </c>
      <c r="K49" s="11">
        <v>496.3</v>
      </c>
      <c r="L49" s="4">
        <f t="shared" ref="L49" si="44">K49/6.2897</f>
        <v>78.90678410735012</v>
      </c>
      <c r="M49" s="4">
        <v>474.31</v>
      </c>
      <c r="N49" s="4">
        <f t="shared" ref="N49" si="45">M49/6.2897</f>
        <v>75.41059192012338</v>
      </c>
      <c r="O49" s="5">
        <v>58.76</v>
      </c>
      <c r="P49" s="5">
        <f t="shared" si="1"/>
        <v>72.596985421299721</v>
      </c>
    </row>
    <row r="50" spans="1:18">
      <c r="A50" s="3" t="s">
        <v>64</v>
      </c>
      <c r="B50" s="4">
        <v>64.58</v>
      </c>
      <c r="C50" s="4">
        <v>55.872889971289091</v>
      </c>
      <c r="D50" s="4">
        <v>50.93</v>
      </c>
      <c r="E50" s="13">
        <v>0.77839999999999998</v>
      </c>
      <c r="F50" s="4">
        <f t="shared" ref="F50" si="46">D50/E50</f>
        <v>65.429085303186028</v>
      </c>
      <c r="G50" s="4">
        <v>444.77</v>
      </c>
      <c r="H50" s="4">
        <f t="shared" ref="H50" si="47">G50/6.2897</f>
        <v>70.71402451627263</v>
      </c>
      <c r="I50" s="4">
        <v>416.29</v>
      </c>
      <c r="J50" s="4">
        <f t="shared" ref="J50" si="48">I50/6.2897</f>
        <v>66.185986613034018</v>
      </c>
      <c r="K50" s="11">
        <v>449.43</v>
      </c>
      <c r="L50" s="4">
        <f t="shared" ref="L50" si="49">K50/6.2897</f>
        <v>71.454918358586269</v>
      </c>
      <c r="M50" s="4">
        <v>425.6</v>
      </c>
      <c r="N50" s="4">
        <f t="shared" ref="N50" si="50">M50/6.2897</f>
        <v>67.666184396712083</v>
      </c>
      <c r="O50" s="5">
        <v>50.44</v>
      </c>
      <c r="P50" s="5">
        <f t="shared" si="1"/>
        <v>64.799588900308322</v>
      </c>
      <c r="Q50" s="4">
        <v>345.03</v>
      </c>
      <c r="R50" s="4">
        <f t="shared" ref="R50:R96" si="51">Q50/6.2897</f>
        <v>54.856352449242408</v>
      </c>
    </row>
    <row r="51" spans="1:18">
      <c r="A51" s="3" t="s">
        <v>65</v>
      </c>
      <c r="B51" s="4">
        <v>50.57</v>
      </c>
      <c r="C51" s="4">
        <v>38.746260436355442</v>
      </c>
      <c r="D51" s="4">
        <v>42.89</v>
      </c>
      <c r="E51" s="13">
        <v>0.76080000000000003</v>
      </c>
      <c r="F51" s="4">
        <f t="shared" ref="F51" si="52">D51/E51</f>
        <v>56.374868559411148</v>
      </c>
      <c r="G51" s="4">
        <v>360.11</v>
      </c>
      <c r="H51" s="4">
        <f t="shared" ref="H51" si="53">G51/6.2897</f>
        <v>57.253923080592081</v>
      </c>
      <c r="I51" s="4">
        <v>334.39</v>
      </c>
      <c r="J51" s="4">
        <f t="shared" ref="J51" si="54">I51/6.2897</f>
        <v>53.16469783932461</v>
      </c>
      <c r="K51" s="11">
        <v>364.77</v>
      </c>
      <c r="L51" s="4">
        <f t="shared" ref="L51" si="55">K51/6.2897</f>
        <v>57.994816922905699</v>
      </c>
      <c r="M51" s="4">
        <v>343.7</v>
      </c>
      <c r="N51" s="4">
        <f t="shared" ref="N51" si="56">M51/6.2897</f>
        <v>54.644895623002689</v>
      </c>
      <c r="O51" s="5">
        <v>42.19</v>
      </c>
      <c r="P51" s="5">
        <f t="shared" si="1"/>
        <v>55.454784437434277</v>
      </c>
      <c r="Q51" s="15">
        <v>263.13</v>
      </c>
      <c r="R51" s="4">
        <f t="shared" si="51"/>
        <v>41.835063675533014</v>
      </c>
    </row>
    <row r="52" spans="1:18">
      <c r="A52" s="3" t="s">
        <v>66</v>
      </c>
      <c r="B52" s="4">
        <v>60.192380952380951</v>
      </c>
      <c r="C52" s="4">
        <v>35.17048333775729</v>
      </c>
      <c r="D52" s="4">
        <v>45.465238095238092</v>
      </c>
      <c r="E52" s="13">
        <v>0.75347272727272729</v>
      </c>
      <c r="F52" s="4">
        <f t="shared" ref="F52" si="57">D52/E52</f>
        <v>60.340920712292053</v>
      </c>
      <c r="G52" s="4">
        <v>366.36</v>
      </c>
      <c r="H52" s="4">
        <f t="shared" ref="H52" si="58">G52/6.2897</f>
        <v>58.247611173823877</v>
      </c>
      <c r="I52" s="4">
        <v>343.75</v>
      </c>
      <c r="J52" s="4">
        <f t="shared" ref="J52" si="59">I52/6.2897</f>
        <v>54.652845127748542</v>
      </c>
      <c r="K52" s="11">
        <v>371.02</v>
      </c>
      <c r="L52" s="4">
        <f t="shared" ref="L52" si="60">K52/6.2897</f>
        <v>58.988505016137495</v>
      </c>
      <c r="M52" s="4">
        <v>353.06</v>
      </c>
      <c r="N52" s="4">
        <f t="shared" ref="N52" si="61">M52/6.2897</f>
        <v>56.133042911426621</v>
      </c>
      <c r="O52" s="5">
        <v>44.433</v>
      </c>
      <c r="P52" s="5">
        <f t="shared" ref="P52" si="62">O52/E52</f>
        <v>58.970946647040371</v>
      </c>
      <c r="Q52" s="15"/>
      <c r="R52" s="4"/>
    </row>
    <row r="53" spans="1:18">
      <c r="A53" s="3" t="s">
        <v>67</v>
      </c>
      <c r="B53" s="4">
        <v>61.177142857142861</v>
      </c>
      <c r="C53" s="4">
        <v>42.844836292991275</v>
      </c>
      <c r="D53" s="4">
        <v>46.289545454545454</v>
      </c>
      <c r="E53" s="13">
        <v>0.76508636363636384</v>
      </c>
      <c r="F53" s="4">
        <f t="shared" ref="F53" si="63">D53/E53</f>
        <v>60.50237941052405</v>
      </c>
      <c r="G53" s="4">
        <v>374.7</v>
      </c>
      <c r="H53" s="4">
        <f t="shared" ref="H53" si="64">G53/6.2897</f>
        <v>59.573588565432374</v>
      </c>
      <c r="I53" s="4">
        <v>393.59</v>
      </c>
      <c r="J53" s="4">
        <f t="shared" ref="J53" si="65">I53/6.2897</f>
        <v>62.576911458416141</v>
      </c>
      <c r="K53" s="11">
        <v>379.36</v>
      </c>
      <c r="L53" s="4">
        <f t="shared" ref="L53" si="66">K53/6.2897</f>
        <v>60.314482407745999</v>
      </c>
      <c r="M53" s="4">
        <v>402.9</v>
      </c>
      <c r="N53" s="4">
        <f t="shared" ref="N53" si="67">M53/6.2897</f>
        <v>64.057109242094214</v>
      </c>
      <c r="O53" s="5">
        <v>45.420999999999999</v>
      </c>
      <c r="P53" s="5">
        <f t="shared" ref="P53" si="68">O53/E53</f>
        <v>59.367154034898007</v>
      </c>
      <c r="Q53" s="15">
        <v>322.33</v>
      </c>
      <c r="R53" s="4">
        <f t="shared" si="51"/>
        <v>51.247277294624546</v>
      </c>
    </row>
    <row r="54" spans="1:18">
      <c r="A54" s="3" t="s">
        <v>68</v>
      </c>
      <c r="B54" s="4">
        <v>59.065714285714279</v>
      </c>
      <c r="C54" s="4">
        <v>36.878437322207468</v>
      </c>
      <c r="D54" s="4">
        <v>42.922999999999995</v>
      </c>
      <c r="E54" s="13">
        <v>0.75328571428571434</v>
      </c>
      <c r="F54" s="4">
        <f t="shared" ref="F54" si="69">D54/E54</f>
        <v>56.9810354636829</v>
      </c>
      <c r="G54" s="4">
        <v>378.84</v>
      </c>
      <c r="H54" s="4">
        <f t="shared" ref="H54" si="70">G54/6.2897</f>
        <v>60.231807558389107</v>
      </c>
      <c r="I54" s="4">
        <v>364.59</v>
      </c>
      <c r="J54" s="4">
        <f t="shared" ref="J54" si="71">I54/6.2897</f>
        <v>57.966198705820624</v>
      </c>
      <c r="K54" s="11">
        <v>383.5</v>
      </c>
      <c r="L54" s="4">
        <f t="shared" ref="L54" si="72">K54/6.2897</f>
        <v>60.972701400702739</v>
      </c>
      <c r="M54" s="4">
        <v>373.9</v>
      </c>
      <c r="N54" s="4">
        <f t="shared" ref="N54" si="73">M54/6.2897</f>
        <v>59.446396489498703</v>
      </c>
      <c r="O54" s="5">
        <v>41.746670000000002</v>
      </c>
      <c r="P54" s="5">
        <f t="shared" ref="P54" si="74">O54/E54</f>
        <v>55.419436753271384</v>
      </c>
      <c r="Q54" s="15">
        <v>293.33</v>
      </c>
      <c r="R54" s="4">
        <f t="shared" si="51"/>
        <v>46.636564542029028</v>
      </c>
    </row>
    <row r="55" spans="1:18">
      <c r="A55" s="3" t="s">
        <v>69</v>
      </c>
      <c r="B55" s="4">
        <v>52.023999999999987</v>
      </c>
      <c r="C55" s="4">
        <v>30.865397226627238</v>
      </c>
      <c r="D55" s="4">
        <v>37.33</v>
      </c>
      <c r="E55" s="13">
        <v>0.72929565217391312</v>
      </c>
      <c r="F55" s="4">
        <f t="shared" ref="F55" si="75">D55/E55</f>
        <v>51.186373988005094</v>
      </c>
      <c r="G55" s="4">
        <v>339.72</v>
      </c>
      <c r="H55" s="4">
        <f t="shared" ref="H55" si="76">G55/6.2897</f>
        <v>54.01211504523269</v>
      </c>
      <c r="I55" s="4">
        <v>309.89</v>
      </c>
      <c r="J55" s="4">
        <f t="shared" ref="J55" si="77">I55/6.2897</f>
        <v>49.269440513855983</v>
      </c>
      <c r="K55" s="11">
        <v>344.38</v>
      </c>
      <c r="L55" s="4">
        <f t="shared" ref="L55" si="78">K55/6.2897</f>
        <v>54.753008887546308</v>
      </c>
      <c r="M55" s="4">
        <v>319.2</v>
      </c>
      <c r="N55" s="4">
        <f t="shared" ref="N55" si="79">M55/6.2897</f>
        <v>50.749638297534062</v>
      </c>
      <c r="O55" s="5">
        <v>36.295999999999999</v>
      </c>
      <c r="P55" s="5">
        <f t="shared" ref="P55" si="80">O55/E55</f>
        <v>49.768567647164026</v>
      </c>
      <c r="Q55" s="15">
        <v>238.63</v>
      </c>
      <c r="R55" s="4">
        <f t="shared" si="51"/>
        <v>37.939806350064394</v>
      </c>
    </row>
    <row r="56" spans="1:18">
      <c r="A56" s="3" t="s">
        <v>73</v>
      </c>
      <c r="B56" s="4">
        <v>44.914285714285711</v>
      </c>
      <c r="C56" s="4">
        <v>25.403225806451612</v>
      </c>
      <c r="D56" s="4">
        <v>31.77578947368421</v>
      </c>
      <c r="E56" s="13">
        <v>0.70384761904761906</v>
      </c>
      <c r="F56" s="4">
        <f t="shared" ref="F56" si="81">D56/E56</f>
        <v>45.145836419366233</v>
      </c>
      <c r="G56" s="4">
        <v>292.75</v>
      </c>
      <c r="H56" s="4">
        <f t="shared" ref="H56" si="82">G56/6.2897</f>
        <v>46.544350286977121</v>
      </c>
      <c r="I56" s="4">
        <v>258.12</v>
      </c>
      <c r="J56" s="4">
        <f t="shared" ref="J56" si="83">I56/6.2897</f>
        <v>41.03852329999841</v>
      </c>
      <c r="K56" s="11">
        <v>297.41000000000003</v>
      </c>
      <c r="L56" s="4">
        <f t="shared" ref="L56" si="84">K56/6.2897</f>
        <v>47.285244129290753</v>
      </c>
      <c r="M56" s="4">
        <v>267.43</v>
      </c>
      <c r="N56" s="4">
        <f t="shared" ref="N56" si="85">M56/6.2897</f>
        <v>42.518721083676489</v>
      </c>
      <c r="O56" s="5">
        <v>31.294</v>
      </c>
      <c r="P56" s="5">
        <f t="shared" ref="P56" si="86">O56/E56</f>
        <v>44.461328209569174</v>
      </c>
      <c r="Q56" s="15">
        <v>186.86</v>
      </c>
      <c r="R56" s="4">
        <f t="shared" si="51"/>
        <v>29.708889136206817</v>
      </c>
    </row>
    <row r="57" spans="1:18">
      <c r="A57" s="3" t="s">
        <v>72</v>
      </c>
      <c r="B57" s="4">
        <v>45.721999999999994</v>
      </c>
      <c r="C57" s="4">
        <v>22.477148560621977</v>
      </c>
      <c r="D57" s="4">
        <v>30.616500000000002</v>
      </c>
      <c r="E57" s="13">
        <v>0.72518095238095248</v>
      </c>
      <c r="F57" s="4">
        <f t="shared" ref="F57" si="87">D57/E57</f>
        <v>42.219117724311829</v>
      </c>
      <c r="G57" s="4">
        <v>269.5</v>
      </c>
      <c r="H57" s="4">
        <f t="shared" ref="H57" si="88">G57/6.2897</f>
        <v>42.847830580154856</v>
      </c>
      <c r="I57" s="4">
        <v>241.62</v>
      </c>
      <c r="J57" s="4">
        <f t="shared" ref="J57" si="89">I57/6.2897</f>
        <v>38.415186733866484</v>
      </c>
      <c r="K57" s="11">
        <v>274.16000000000003</v>
      </c>
      <c r="L57" s="4">
        <f t="shared" ref="L57" si="90">K57/6.2897</f>
        <v>43.588724422468488</v>
      </c>
      <c r="M57" s="4">
        <v>250.93</v>
      </c>
      <c r="N57" s="4">
        <f t="shared" ref="N57" si="91">M57/6.2897</f>
        <v>39.895384517544557</v>
      </c>
      <c r="O57" s="5">
        <v>29.597999999999999</v>
      </c>
      <c r="P57" s="5">
        <f t="shared" ref="P57" si="92">O57/E57</f>
        <v>40.814640680815288</v>
      </c>
      <c r="Q57" s="15">
        <v>170.36</v>
      </c>
      <c r="R57" s="4">
        <f t="shared" si="51"/>
        <v>27.085552570074888</v>
      </c>
    </row>
    <row r="58" spans="1:18">
      <c r="A58" s="3" t="s">
        <v>74</v>
      </c>
      <c r="B58" s="4">
        <v>55.802727272727289</v>
      </c>
      <c r="C58" s="4">
        <v>30.988083273510412</v>
      </c>
      <c r="D58" s="4">
        <v>37.960909090909098</v>
      </c>
      <c r="E58" s="13">
        <v>0.75706521739130428</v>
      </c>
      <c r="F58" s="4">
        <f t="shared" ref="F58" si="93">D58/E58</f>
        <v>50.142191476864859</v>
      </c>
      <c r="G58" s="4">
        <v>325.06</v>
      </c>
      <c r="H58" s="4">
        <f t="shared" ref="H58" si="94">G58/6.2897</f>
        <v>51.68132025374819</v>
      </c>
      <c r="I58" s="4">
        <v>300.86</v>
      </c>
      <c r="J58" s="4">
        <f t="shared" ref="J58" si="95">I58/6.2897</f>
        <v>47.833759956754697</v>
      </c>
      <c r="K58" s="11">
        <v>329.72</v>
      </c>
      <c r="L58" s="4">
        <f t="shared" ref="L58" si="96">K58/6.2897</f>
        <v>52.422214096061822</v>
      </c>
      <c r="M58" s="4">
        <v>310.17</v>
      </c>
      <c r="N58" s="4">
        <f t="shared" ref="N58" si="97">M58/6.2897</f>
        <v>49.313957740432777</v>
      </c>
      <c r="O58" s="5">
        <v>37.103000000000002</v>
      </c>
      <c r="P58" s="5">
        <f t="shared" ref="P58" si="98">O58/E58</f>
        <v>49.008987796123478</v>
      </c>
      <c r="Q58" s="15">
        <v>229.6</v>
      </c>
      <c r="R58" s="4">
        <f t="shared" si="51"/>
        <v>36.504125792963102</v>
      </c>
    </row>
    <row r="59" spans="1:18">
      <c r="A59" s="3" t="s">
        <v>75</v>
      </c>
      <c r="B59" s="4">
        <v>52.913809523809526</v>
      </c>
      <c r="C59" s="4">
        <v>35.71916638196106</v>
      </c>
      <c r="D59" s="4">
        <v>41.124761904761897</v>
      </c>
      <c r="E59" s="13">
        <v>0.78053333333333319</v>
      </c>
      <c r="F59" s="4">
        <f t="shared" ref="F59" si="99">D59/E59</f>
        <v>52.688027722192395</v>
      </c>
      <c r="G59" s="4">
        <v>350.64</v>
      </c>
      <c r="H59" s="4">
        <f t="shared" ref="H59" si="100">G59/6.2897</f>
        <v>55.748286881727267</v>
      </c>
      <c r="I59" s="4">
        <v>323.07</v>
      </c>
      <c r="J59" s="4">
        <f t="shared" ref="J59" si="101">I59/6.2897</f>
        <v>51.364929964863187</v>
      </c>
      <c r="K59" s="11">
        <v>355.3</v>
      </c>
      <c r="L59" s="4">
        <f t="shared" ref="L59" si="102">K59/6.2897</f>
        <v>56.489180724040892</v>
      </c>
      <c r="M59" s="4">
        <v>332.38</v>
      </c>
      <c r="N59" s="4">
        <f t="shared" ref="N59" si="103">M59/6.2897</f>
        <v>52.845127748541266</v>
      </c>
      <c r="O59" s="5">
        <v>40.03</v>
      </c>
      <c r="P59" s="5">
        <f t="shared" ref="P59" si="104">O59/E59</f>
        <v>51.285445848992154</v>
      </c>
      <c r="Q59" s="15">
        <v>229.6</v>
      </c>
      <c r="R59" s="4">
        <f t="shared" si="51"/>
        <v>36.504125792963102</v>
      </c>
    </row>
    <row r="60" spans="1:18">
      <c r="A60" s="3" t="s">
        <v>76</v>
      </c>
      <c r="B60" s="4">
        <v>62.96</v>
      </c>
      <c r="C60" s="4">
        <v>42.104271985216663</v>
      </c>
      <c r="D60" s="4">
        <v>46.8</v>
      </c>
      <c r="E60" s="13">
        <v>0.7723681818181819</v>
      </c>
      <c r="F60" s="4">
        <f t="shared" ref="F60" si="105">D60/E60</f>
        <v>60.592863742562713</v>
      </c>
      <c r="G60" s="4">
        <v>381.42</v>
      </c>
      <c r="H60" s="4">
        <f t="shared" ref="H60" si="106">G60/6.2897</f>
        <v>60.642002003275202</v>
      </c>
      <c r="I60" s="4">
        <v>360.03</v>
      </c>
      <c r="J60" s="4">
        <f t="shared" ref="J60" si="107">I60/6.2897</f>
        <v>57.24120387299871</v>
      </c>
      <c r="K60" s="11">
        <v>386.08</v>
      </c>
      <c r="L60" s="4">
        <f t="shared" ref="L60" si="108">K60/6.2897</f>
        <v>61.38289584558882</v>
      </c>
      <c r="M60" s="4">
        <v>369.34</v>
      </c>
      <c r="N60" s="4">
        <f t="shared" ref="N60" si="109">M60/6.2897</f>
        <v>58.72140165667679</v>
      </c>
      <c r="O60" s="5">
        <v>45.9</v>
      </c>
      <c r="P60" s="5">
        <f t="shared" ref="P60" si="110">O60/E60</f>
        <v>59.427616362898043</v>
      </c>
      <c r="Q60" s="15">
        <v>251.81</v>
      </c>
      <c r="R60" s="4">
        <f t="shared" si="51"/>
        <v>40.035295801071598</v>
      </c>
    </row>
    <row r="61" spans="1:18">
      <c r="A61" s="3" t="s">
        <v>77</v>
      </c>
      <c r="B61" s="4">
        <v>66.89</v>
      </c>
      <c r="C61" s="4">
        <v>46.999074475438441</v>
      </c>
      <c r="D61" s="4">
        <v>48.853181818181831</v>
      </c>
      <c r="E61" s="13">
        <v>0.77597272727272748</v>
      </c>
      <c r="F61" s="4">
        <f t="shared" ref="F61" si="111">D61/E61</f>
        <v>62.957343861663368</v>
      </c>
      <c r="G61" s="4">
        <v>410.04</v>
      </c>
      <c r="H61" s="4">
        <f t="shared" ref="H61" si="112">G61/6.2897</f>
        <v>65.192298519802222</v>
      </c>
      <c r="I61" s="4">
        <v>389.53</v>
      </c>
      <c r="J61" s="4">
        <f t="shared" ref="J61" si="113">I61/6.2897</f>
        <v>61.931411673052764</v>
      </c>
      <c r="K61" s="11">
        <v>414.7</v>
      </c>
      <c r="L61" s="4">
        <f t="shared" ref="L61" si="114">K61/6.2897</f>
        <v>65.933192362115847</v>
      </c>
      <c r="M61" s="4">
        <v>398.84</v>
      </c>
      <c r="N61" s="4">
        <f t="shared" ref="N61" si="115">M61/6.2897</f>
        <v>63.411609456730844</v>
      </c>
      <c r="O61" s="5">
        <v>42.713000000000001</v>
      </c>
      <c r="P61" s="5">
        <f t="shared" ref="P61" si="116">O61/E61</f>
        <v>55.044460325456598</v>
      </c>
      <c r="Q61" s="15">
        <v>288.77</v>
      </c>
      <c r="R61" s="4">
        <f t="shared" si="51"/>
        <v>45.911569709207114</v>
      </c>
    </row>
    <row r="62" spans="1:18">
      <c r="A62" s="3" t="s">
        <v>78</v>
      </c>
      <c r="B62" s="4">
        <v>58.2</v>
      </c>
      <c r="C62" s="4">
        <v>42.76</v>
      </c>
      <c r="D62" s="4">
        <v>44.8</v>
      </c>
      <c r="E62" s="13">
        <v>0.7671</v>
      </c>
      <c r="F62" s="4">
        <f t="shared" ref="F62" si="117">D62/E62</f>
        <v>58.401772910963366</v>
      </c>
      <c r="G62" s="4">
        <v>390.56</v>
      </c>
      <c r="H62" s="4">
        <f t="shared" ref="H62" si="118">G62/6.2897</f>
        <v>62.09517147081737</v>
      </c>
      <c r="I62" s="4">
        <v>371.24</v>
      </c>
      <c r="J62" s="4">
        <f t="shared" ref="J62" si="119">I62/6.2897</f>
        <v>59.023482837019259</v>
      </c>
      <c r="K62" s="11">
        <v>395.22</v>
      </c>
      <c r="L62" s="4">
        <f t="shared" ref="L62" si="120">K62/6.2897</f>
        <v>62.836065313130995</v>
      </c>
      <c r="M62" s="4">
        <v>380.55</v>
      </c>
      <c r="N62" s="4">
        <f t="shared" ref="N62" si="121">M62/6.2897</f>
        <v>60.503680620697331</v>
      </c>
      <c r="O62" s="5">
        <v>44.075499999999998</v>
      </c>
      <c r="P62" s="5">
        <f t="shared" ref="P62" si="122">O62/E62</f>
        <v>57.45730673966888</v>
      </c>
      <c r="Q62" s="15">
        <v>318.27</v>
      </c>
      <c r="R62" s="4">
        <f t="shared" si="51"/>
        <v>50.601777509261169</v>
      </c>
    </row>
    <row r="63" spans="1:18">
      <c r="A63" s="3" t="s">
        <v>79</v>
      </c>
      <c r="B63" s="4">
        <v>57.54</v>
      </c>
      <c r="C63" s="4">
        <v>40.17</v>
      </c>
      <c r="D63" s="4">
        <v>44.8</v>
      </c>
      <c r="E63" s="13">
        <v>0.76929999999999998</v>
      </c>
      <c r="F63" s="4">
        <f t="shared" ref="F63" si="123">D63/E63</f>
        <v>58.234758871701544</v>
      </c>
      <c r="G63" s="4">
        <v>373.72</v>
      </c>
      <c r="H63" s="4">
        <f t="shared" ref="H63" si="124">G63/6.2897</f>
        <v>59.417778272413635</v>
      </c>
      <c r="I63" s="4">
        <v>358.17</v>
      </c>
      <c r="J63" s="4">
        <f t="shared" ref="J63" si="125">I63/6.2897</f>
        <v>56.945482296452937</v>
      </c>
      <c r="K63" s="11">
        <v>378.38</v>
      </c>
      <c r="L63" s="4">
        <f t="shared" ref="L63" si="126">K63/6.2897</f>
        <v>60.158672114727253</v>
      </c>
      <c r="M63" s="4">
        <v>367.48</v>
      </c>
      <c r="N63" s="4">
        <f t="shared" ref="N63" si="127">M63/6.2897</f>
        <v>58.425680080131009</v>
      </c>
      <c r="O63" s="5">
        <v>44.008000000000003</v>
      </c>
      <c r="P63" s="5">
        <f t="shared" ref="P63" si="128">O63/E63</f>
        <v>57.205251527362542</v>
      </c>
      <c r="Q63" s="15">
        <v>299.98</v>
      </c>
      <c r="R63" s="4">
        <f t="shared" si="51"/>
        <v>47.693848673227663</v>
      </c>
    </row>
    <row r="64" spans="1:18">
      <c r="A64" s="3" t="s">
        <v>80</v>
      </c>
      <c r="B64" s="4">
        <v>60.340476190476181</v>
      </c>
      <c r="C64" s="4">
        <v>40.08115714379214</v>
      </c>
      <c r="D64" s="4">
        <v>45.225714285714282</v>
      </c>
      <c r="E64" s="13">
        <v>0.76394999999999991</v>
      </c>
      <c r="F64" s="4">
        <f t="shared" ref="F64" si="129">D64/E64</f>
        <v>59.199835441736091</v>
      </c>
      <c r="G64" s="4">
        <v>379.09</v>
      </c>
      <c r="H64" s="4">
        <f t="shared" ref="H64" si="130">G64/6.2897</f>
        <v>60.271555082118383</v>
      </c>
      <c r="I64" s="4">
        <v>354.9</v>
      </c>
      <c r="J64" s="4">
        <f t="shared" ref="J64" si="131">I64/6.2897</f>
        <v>56.425584686074053</v>
      </c>
      <c r="K64" s="11">
        <v>383.75</v>
      </c>
      <c r="L64" s="4">
        <f t="shared" ref="L64" si="132">K64/6.2897</f>
        <v>61.012448924432007</v>
      </c>
      <c r="M64" s="4">
        <v>364.21</v>
      </c>
      <c r="N64" s="4">
        <f t="shared" ref="N64" si="133">M64/6.2897</f>
        <v>57.905782469752133</v>
      </c>
      <c r="O64" s="5">
        <v>43.99</v>
      </c>
      <c r="P64" s="5">
        <f t="shared" ref="P64" si="134">O64/E64</f>
        <v>57.582302506708565</v>
      </c>
      <c r="Q64" s="15">
        <v>286.91000000000003</v>
      </c>
      <c r="R64" s="4">
        <f t="shared" si="51"/>
        <v>45.615848132661341</v>
      </c>
    </row>
    <row r="65" spans="1:18">
      <c r="A65" s="3" t="s">
        <v>81</v>
      </c>
      <c r="B65" s="4">
        <v>65.655263157894737</v>
      </c>
      <c r="C65" s="4">
        <v>47.459348311488441</v>
      </c>
      <c r="D65" s="4">
        <v>49.94</v>
      </c>
      <c r="E65" s="13">
        <v>0.75496190476190472</v>
      </c>
      <c r="F65" s="4">
        <f t="shared" ref="F65" si="135">D65/E65</f>
        <v>66.149033063793823</v>
      </c>
      <c r="G65" s="4">
        <v>433.2</v>
      </c>
      <c r="H65" s="4">
        <f t="shared" ref="H65" si="136">G65/6.2897</f>
        <v>68.874509118081946</v>
      </c>
      <c r="I65" s="4">
        <v>408.33</v>
      </c>
      <c r="J65" s="4">
        <f t="shared" ref="J65" si="137">I65/6.2897</f>
        <v>64.920425457493991</v>
      </c>
      <c r="K65" s="11">
        <v>437.86</v>
      </c>
      <c r="L65" s="4">
        <f t="shared" ref="L65" si="138">K65/6.2897</f>
        <v>69.615402960395571</v>
      </c>
      <c r="M65" s="4">
        <v>417.64</v>
      </c>
      <c r="N65" s="4">
        <f t="shared" ref="N65" si="139">M65/6.2897</f>
        <v>66.40062324117207</v>
      </c>
      <c r="O65" s="5">
        <v>48.826999999999998</v>
      </c>
      <c r="P65" s="5">
        <f t="shared" ref="P65" si="140">O65/E65</f>
        <v>64.674786491907511</v>
      </c>
      <c r="Q65" s="15">
        <v>283.64</v>
      </c>
      <c r="R65" s="4">
        <f t="shared" si="51"/>
        <v>45.095950522282457</v>
      </c>
    </row>
    <row r="66" spans="1:18">
      <c r="A66" s="3" t="s">
        <v>82</v>
      </c>
      <c r="B66" s="4">
        <v>59.251818181818187</v>
      </c>
      <c r="C66" s="4">
        <v>42.876262765157769</v>
      </c>
      <c r="D66" s="4">
        <v>45.764285714285712</v>
      </c>
      <c r="E66" s="13">
        <v>0.74376818181818183</v>
      </c>
      <c r="F66" s="4">
        <f t="shared" ref="F66" si="141">D66/E66</f>
        <v>61.530308546424266</v>
      </c>
      <c r="G66" s="4">
        <v>399.53</v>
      </c>
      <c r="H66" s="4">
        <f t="shared" ref="H66" si="142">G66/6.2897</f>
        <v>63.521312622223633</v>
      </c>
      <c r="I66" s="4">
        <v>379.65</v>
      </c>
      <c r="J66" s="4">
        <f t="shared" ref="J66" si="143">I66/6.2897</f>
        <v>60.360589535271949</v>
      </c>
      <c r="K66" s="11">
        <v>404.19</v>
      </c>
      <c r="L66" s="4">
        <f t="shared" ref="L66" si="144">K66/6.2897</f>
        <v>64.262206464537257</v>
      </c>
      <c r="M66" s="4">
        <v>388.96</v>
      </c>
      <c r="N66" s="4">
        <f t="shared" ref="N66" si="145">M66/6.2897</f>
        <v>61.840787318950028</v>
      </c>
      <c r="O66" s="5">
        <v>44.58</v>
      </c>
      <c r="P66" s="5">
        <f t="shared" ref="P66" si="146">O66/E66</f>
        <v>59.938030544707843</v>
      </c>
      <c r="Q66" s="15">
        <v>337.07</v>
      </c>
      <c r="R66" s="4">
        <f t="shared" si="51"/>
        <v>53.590791293702402</v>
      </c>
    </row>
    <row r="67" spans="1:18">
      <c r="A67" s="3" t="s">
        <v>83</v>
      </c>
      <c r="B67" s="4">
        <v>67.882999999999981</v>
      </c>
      <c r="C67" s="4">
        <v>49.643134589240624</v>
      </c>
      <c r="D67" s="4">
        <v>52.165714285714287</v>
      </c>
      <c r="E67" s="13">
        <v>0.74894545454545458</v>
      </c>
      <c r="F67" s="4">
        <f t="shared" ref="F67" si="147">D67/E67</f>
        <v>69.652220958299807</v>
      </c>
      <c r="G67" s="4">
        <v>441.63</v>
      </c>
      <c r="H67" s="4">
        <f t="shared" ref="H67" si="148">G67/6.2897</f>
        <v>70.214795618232984</v>
      </c>
      <c r="I67" s="4">
        <v>420.14</v>
      </c>
      <c r="J67" s="4">
        <f t="shared" ref="J67" si="149">I67/6.2897</f>
        <v>66.798098478464794</v>
      </c>
      <c r="K67" s="11">
        <v>446.29</v>
      </c>
      <c r="L67" s="4">
        <f t="shared" ref="L67" si="150">K67/6.2897</f>
        <v>70.955689460546608</v>
      </c>
      <c r="M67" s="4">
        <v>429.45</v>
      </c>
      <c r="N67" s="4">
        <f t="shared" ref="N67" si="151">M67/6.2897</f>
        <v>68.278296262142874</v>
      </c>
      <c r="O67" s="5">
        <v>51.21</v>
      </c>
      <c r="P67" s="5">
        <f t="shared" ref="P67" si="152">O67/E67</f>
        <v>68.376140998252083</v>
      </c>
      <c r="Q67" s="15">
        <v>308.39</v>
      </c>
      <c r="R67" s="4">
        <f t="shared" si="51"/>
        <v>49.030955371480353</v>
      </c>
    </row>
    <row r="68" spans="1:18">
      <c r="A68" s="3" t="s">
        <v>84</v>
      </c>
      <c r="B68" s="4">
        <v>70.262857142857143</v>
      </c>
      <c r="C68" s="4">
        <v>49.104843985379816</v>
      </c>
      <c r="D68" s="4">
        <v>52.608499999999992</v>
      </c>
      <c r="E68" s="13">
        <v>0.75735909090909093</v>
      </c>
      <c r="F68" s="4">
        <f t="shared" ref="F68" si="153">D68/E68</f>
        <v>69.463086442722613</v>
      </c>
      <c r="G68" s="4">
        <v>438.3</v>
      </c>
      <c r="H68" s="4">
        <f t="shared" ref="H68" si="154">G68/6.2897</f>
        <v>69.685358602159084</v>
      </c>
      <c r="I68" s="4">
        <v>410.05</v>
      </c>
      <c r="J68" s="4">
        <f t="shared" ref="J68" si="155">I68/6.2897</f>
        <v>65.193888420751392</v>
      </c>
      <c r="K68" s="11">
        <v>442.96</v>
      </c>
      <c r="L68" s="4">
        <f t="shared" ref="L68" si="156">K68/6.2897</f>
        <v>70.426252444472709</v>
      </c>
      <c r="M68" s="4">
        <v>419.36</v>
      </c>
      <c r="N68" s="4">
        <f t="shared" ref="N68" si="157">M68/6.2897</f>
        <v>66.674086204429472</v>
      </c>
      <c r="O68" s="5">
        <v>51.768999999999998</v>
      </c>
      <c r="P68" s="5">
        <f t="shared" ref="P68" si="158">O68/E68</f>
        <v>68.354629424015258</v>
      </c>
      <c r="Q68" s="15">
        <v>348.88</v>
      </c>
      <c r="R68" s="4">
        <f t="shared" si="51"/>
        <v>55.468464314673199</v>
      </c>
    </row>
    <row r="69" spans="1:18">
      <c r="A69" s="3" t="s">
        <v>85</v>
      </c>
      <c r="B69" s="4">
        <v>71.135789473684213</v>
      </c>
      <c r="C69" s="4">
        <v>51.317350745045594</v>
      </c>
      <c r="D69" s="4">
        <v>53.462105263157902</v>
      </c>
      <c r="E69" s="13">
        <v>0.76270499999999997</v>
      </c>
      <c r="F69" s="4">
        <f t="shared" ref="F69" si="159">D69/E69</f>
        <v>70.095391092437978</v>
      </c>
      <c r="G69" s="4">
        <v>451.79</v>
      </c>
      <c r="H69" s="4">
        <f t="shared" ref="H69" si="160">G69/6.2897</f>
        <v>71.830134982590593</v>
      </c>
      <c r="I69" s="4">
        <v>430.16</v>
      </c>
      <c r="J69" s="4">
        <f t="shared" ref="J69" si="161">I69/6.2897</f>
        <v>68.391179229534004</v>
      </c>
      <c r="K69" s="11">
        <v>456.45</v>
      </c>
      <c r="L69" s="4">
        <f t="shared" ref="L69" si="162">K69/6.2897</f>
        <v>72.571028824904204</v>
      </c>
      <c r="M69" s="4">
        <v>439.47</v>
      </c>
      <c r="N69" s="4">
        <f t="shared" ref="N69" si="163">M69/6.2897</f>
        <v>69.871377013212083</v>
      </c>
      <c r="O69" s="5">
        <v>52.548999999999999</v>
      </c>
      <c r="P69" s="5">
        <f t="shared" ref="P69:P70" si="164">O69/E69</f>
        <v>68.898197861558529</v>
      </c>
      <c r="Q69" s="15">
        <v>358.9</v>
      </c>
      <c r="R69" s="4">
        <f t="shared" si="51"/>
        <v>57.061545065742401</v>
      </c>
    </row>
    <row r="70" spans="1:18">
      <c r="A70" s="3" t="s">
        <v>86</v>
      </c>
      <c r="B70" s="4">
        <v>69.358260869565214</v>
      </c>
      <c r="C70" s="4">
        <v>47.747994111794441</v>
      </c>
      <c r="D70" s="4">
        <v>49.673913043478258</v>
      </c>
      <c r="E70" s="13">
        <v>0.7472565217391306</v>
      </c>
      <c r="F70" s="4">
        <f t="shared" ref="F70" si="165">D70/E70</f>
        <v>66.475047856216051</v>
      </c>
      <c r="G70" s="4">
        <v>428.57</v>
      </c>
      <c r="H70" s="4">
        <f t="shared" ref="H70" si="166">G70/6.2897</f>
        <v>68.138384978615832</v>
      </c>
      <c r="I70" s="4">
        <v>407.41</v>
      </c>
      <c r="J70" s="4">
        <f t="shared" ref="J70" si="167">I70/6.2897</f>
        <v>64.774154570170282</v>
      </c>
      <c r="K70" s="11">
        <v>433.23</v>
      </c>
      <c r="L70" s="4">
        <f t="shared" ref="L70" si="168">K70/6.2897</f>
        <v>68.879278820929457</v>
      </c>
      <c r="M70" s="4">
        <v>416.72</v>
      </c>
      <c r="N70" s="4">
        <f t="shared" ref="N70" si="169">M70/6.2897</f>
        <v>66.254352353848361</v>
      </c>
      <c r="O70" s="5">
        <f>(51.08*10+47.53*10+47.5*11)/31</f>
        <v>48.664516129032258</v>
      </c>
      <c r="P70" s="5">
        <f t="shared" si="164"/>
        <v>65.124244102644553</v>
      </c>
      <c r="Q70" s="15"/>
      <c r="R70" s="4"/>
    </row>
    <row r="71" spans="1:18">
      <c r="A71" s="3" t="s">
        <v>87</v>
      </c>
      <c r="B71" s="4">
        <v>72.914000000000016</v>
      </c>
      <c r="C71" s="4">
        <v>49.495505904797746</v>
      </c>
      <c r="D71" s="4">
        <v>51.117368421052632</v>
      </c>
      <c r="E71" s="13">
        <v>0.74430999999999992</v>
      </c>
      <c r="F71" s="4">
        <f t="shared" ref="F71" si="170">D71/E71</f>
        <v>68.67752471557904</v>
      </c>
      <c r="G71" s="4">
        <v>442.65</v>
      </c>
      <c r="H71" s="4">
        <f t="shared" ref="H71" si="171">G71/6.2897</f>
        <v>70.376965515048411</v>
      </c>
      <c r="I71" s="4">
        <v>421.23</v>
      </c>
      <c r="J71" s="4">
        <f t="shared" ref="J71" si="172">I71/6.2897</f>
        <v>66.971397681924415</v>
      </c>
      <c r="K71" s="11">
        <v>447.31</v>
      </c>
      <c r="L71" s="4">
        <f t="shared" ref="L71" si="173">K71/6.2897</f>
        <v>71.117859357362036</v>
      </c>
      <c r="M71" s="4">
        <v>430.54</v>
      </c>
      <c r="N71" s="4">
        <f t="shared" ref="N71" si="174">M71/6.2897</f>
        <v>68.451595465602495</v>
      </c>
      <c r="O71" s="5">
        <f>(48.42+51.5+50.51)/3</f>
        <v>50.143333333333338</v>
      </c>
      <c r="P71" s="5">
        <f t="shared" ref="P71" si="175">O71/E71</f>
        <v>67.368883037085823</v>
      </c>
      <c r="Q71" s="15">
        <v>349.97</v>
      </c>
      <c r="R71" s="4">
        <f t="shared" si="51"/>
        <v>55.641763518132827</v>
      </c>
    </row>
    <row r="72" spans="1:18">
      <c r="A72" s="3" t="s">
        <v>88</v>
      </c>
      <c r="B72" s="4">
        <v>66.034090909090892</v>
      </c>
      <c r="C72" s="4">
        <v>52.805428794363138</v>
      </c>
      <c r="D72" s="4">
        <v>48.539545454545461</v>
      </c>
      <c r="E72" s="13">
        <v>0.73553043478260871</v>
      </c>
      <c r="F72" s="4">
        <f t="shared" ref="F72" si="176">D72/E72</f>
        <v>65.992572379267585</v>
      </c>
      <c r="G72" s="4">
        <v>445.84</v>
      </c>
      <c r="H72" s="4">
        <f t="shared" ref="H72" si="177">G72/6.2897</f>
        <v>70.88414391783391</v>
      </c>
      <c r="I72" s="4">
        <v>421.77</v>
      </c>
      <c r="J72" s="4">
        <f t="shared" ref="J72" si="178">I72/6.2897</f>
        <v>67.057252333179648</v>
      </c>
      <c r="K72" s="11">
        <v>450.5</v>
      </c>
      <c r="L72" s="4">
        <f t="shared" ref="L72" si="179">K72/6.2897</f>
        <v>71.625037760147549</v>
      </c>
      <c r="M72" s="4">
        <v>431.08</v>
      </c>
      <c r="N72" s="4">
        <f t="shared" ref="N72" si="180">M72/6.2897</f>
        <v>68.537450116857713</v>
      </c>
      <c r="O72" s="5">
        <f>(45.81*10+47.79*10+49*11)/31</f>
        <v>47.58064516129032</v>
      </c>
      <c r="P72" s="5">
        <f t="shared" ref="P72" si="181">O72/E72</f>
        <v>64.688886973593583</v>
      </c>
      <c r="Q72" s="15">
        <v>350.51</v>
      </c>
      <c r="R72" s="4">
        <f t="shared" si="51"/>
        <v>55.727618169388045</v>
      </c>
    </row>
    <row r="73" spans="1:18">
      <c r="A73" s="3" t="s">
        <v>89</v>
      </c>
      <c r="B73" s="4">
        <v>60.492272727272727</v>
      </c>
      <c r="C73" s="4">
        <v>47.586823597650856</v>
      </c>
      <c r="D73" s="4">
        <v>45.195909090909083</v>
      </c>
      <c r="E73" s="13">
        <v>0.75230909090909104</v>
      </c>
      <c r="F73" s="4">
        <f t="shared" ref="F73:F78" si="182">D73/E73</f>
        <v>60.07625009063004</v>
      </c>
      <c r="G73" s="4">
        <v>393.27</v>
      </c>
      <c r="H73" s="4">
        <f t="shared" ref="H73" si="183">G73/6.2897</f>
        <v>62.526034628042673</v>
      </c>
      <c r="I73" s="4">
        <v>380.88</v>
      </c>
      <c r="J73" s="4">
        <f t="shared" ref="J73" si="184">I73/6.2897</f>
        <v>60.55614735201997</v>
      </c>
      <c r="K73" s="11">
        <v>397.93</v>
      </c>
      <c r="L73" s="4">
        <f t="shared" ref="L73" si="185">K73/6.2897</f>
        <v>63.266928470356298</v>
      </c>
      <c r="M73" s="4">
        <v>390.19</v>
      </c>
      <c r="N73" s="4">
        <f t="shared" ref="N73" si="186">M73/6.2897</f>
        <v>62.036345135698049</v>
      </c>
      <c r="O73" s="5">
        <f>(46*10+43.92*10+42.76*10)/30</f>
        <v>44.226666666666667</v>
      </c>
      <c r="P73" s="5">
        <f t="shared" ref="P73:P78" si="187">O73/E73</f>
        <v>58.78789343516123</v>
      </c>
      <c r="Q73" s="15">
        <v>309.62</v>
      </c>
      <c r="R73" s="4">
        <f t="shared" si="51"/>
        <v>49.226513188228374</v>
      </c>
    </row>
    <row r="74" spans="1:18">
      <c r="A74" s="3" t="s">
        <v>90</v>
      </c>
      <c r="B74" s="4">
        <v>60.781000000000006</v>
      </c>
      <c r="C74" s="4">
        <v>46.173796338838777</v>
      </c>
      <c r="D74" s="4">
        <v>46.674999999999997</v>
      </c>
      <c r="E74" s="13">
        <v>0.78767619047619042</v>
      </c>
      <c r="F74" s="4">
        <f t="shared" si="182"/>
        <v>59.25658356104757</v>
      </c>
      <c r="G74" s="4">
        <v>385.99</v>
      </c>
      <c r="H74" s="4">
        <f t="shared" ref="H74" si="188">G74/6.2897</f>
        <v>61.368586737046286</v>
      </c>
      <c r="I74" s="4">
        <v>369.79</v>
      </c>
      <c r="J74" s="4">
        <f t="shared" ref="J74" si="189">I74/6.2897</f>
        <v>58.792947199389481</v>
      </c>
      <c r="K74" s="11">
        <v>390.65</v>
      </c>
      <c r="L74" s="4">
        <f t="shared" ref="L74" si="190">K74/6.2897</f>
        <v>62.109480579359904</v>
      </c>
      <c r="M74" s="4">
        <v>379.1</v>
      </c>
      <c r="N74" s="4">
        <f t="shared" ref="N74" si="191">M74/6.2897</f>
        <v>60.27314498306756</v>
      </c>
      <c r="O74" s="5">
        <f>(47.06*11+45.26*10+44.4*10)/31</f>
        <v>45.621290322580641</v>
      </c>
      <c r="P74" s="5">
        <f t="shared" si="187"/>
        <v>57.918838825127168</v>
      </c>
      <c r="Q74" s="15">
        <v>298.52999999999997</v>
      </c>
      <c r="R74" s="4">
        <f t="shared" si="51"/>
        <v>47.463313035597878</v>
      </c>
    </row>
    <row r="75" spans="1:18">
      <c r="A75" s="3" t="s">
        <v>91</v>
      </c>
      <c r="B75" s="4">
        <v>61.991739130434773</v>
      </c>
      <c r="C75" s="4">
        <v>48.537303288258414</v>
      </c>
      <c r="D75" s="4">
        <v>48.057826086956517</v>
      </c>
      <c r="E75" s="13">
        <v>0.79320434782608695</v>
      </c>
      <c r="F75" s="4">
        <f t="shared" si="182"/>
        <v>60.586942341739885</v>
      </c>
      <c r="G75" s="4">
        <v>395.63</v>
      </c>
      <c r="H75" s="4">
        <f t="shared" ref="H75" si="192">G75/6.2897</f>
        <v>62.901251252046997</v>
      </c>
      <c r="I75" s="4">
        <v>380.81</v>
      </c>
      <c r="J75" s="4">
        <f t="shared" ref="J75" si="193">I75/6.2897</f>
        <v>60.545018045375777</v>
      </c>
      <c r="K75" s="11">
        <v>400.29</v>
      </c>
      <c r="L75" s="4">
        <f t="shared" ref="L75" si="194">K75/6.2897</f>
        <v>63.642145094360629</v>
      </c>
      <c r="M75" s="4">
        <v>390.12</v>
      </c>
      <c r="N75" s="4">
        <f t="shared" ref="N75" si="195">M75/6.2897</f>
        <v>62.025215829053849</v>
      </c>
      <c r="O75" s="5">
        <f>(46.33*11+47.1*10+48.32*10)/31</f>
        <v>47.22032258064516</v>
      </c>
      <c r="P75" s="5">
        <f t="shared" si="187"/>
        <v>59.531093986134316</v>
      </c>
      <c r="Q75" s="15">
        <v>309.55</v>
      </c>
      <c r="R75" s="4">
        <f t="shared" si="51"/>
        <v>49.215383881584181</v>
      </c>
    </row>
    <row r="76" spans="1:18">
      <c r="A76" s="3" t="s">
        <v>92</v>
      </c>
      <c r="B76" s="4">
        <v>64.050000000000011</v>
      </c>
      <c r="C76" s="4">
        <v>47.33</v>
      </c>
      <c r="D76" s="4">
        <v>49.870499999999993</v>
      </c>
      <c r="E76" s="13">
        <v>0.8134904761904761</v>
      </c>
      <c r="F76" s="4">
        <f t="shared" si="182"/>
        <v>61.304344008476114</v>
      </c>
      <c r="G76" s="4">
        <v>397.02</v>
      </c>
      <c r="H76" s="4">
        <f t="shared" ref="H76" si="196">G76/6.2897</f>
        <v>63.122247483981745</v>
      </c>
      <c r="I76" s="4">
        <v>380.66</v>
      </c>
      <c r="J76" s="4">
        <f t="shared" ref="J76" si="197">I76/6.2897</f>
        <v>60.521169531138213</v>
      </c>
      <c r="K76" s="11">
        <v>389.61</v>
      </c>
      <c r="L76" s="4">
        <f t="shared" ref="L76" si="198">K76/6.2897</f>
        <v>61.944130880646142</v>
      </c>
      <c r="M76" s="4">
        <v>389.97</v>
      </c>
      <c r="N76" s="4">
        <f t="shared" ref="N76" si="199">M76/6.2897</f>
        <v>62.001367314816292</v>
      </c>
      <c r="O76" s="5">
        <f>(46.85*10+48.5*10+50.37*10)/30</f>
        <v>48.573333333333338</v>
      </c>
      <c r="P76" s="5">
        <f t="shared" si="187"/>
        <v>59.709775043463509</v>
      </c>
      <c r="Q76" s="15">
        <v>309.39999999999998</v>
      </c>
      <c r="R76" s="4">
        <f t="shared" si="51"/>
        <v>49.19153536734661</v>
      </c>
    </row>
    <row r="77" spans="1:18">
      <c r="A77" s="3" t="s">
        <v>93</v>
      </c>
      <c r="B77" s="4">
        <v>69.218095238095231</v>
      </c>
      <c r="C77" s="4">
        <v>48.5</v>
      </c>
      <c r="D77" s="4">
        <v>51.579545454545453</v>
      </c>
      <c r="E77" s="13">
        <v>0.79385909090909079</v>
      </c>
      <c r="F77" s="4">
        <f t="shared" si="182"/>
        <v>64.973174767676895</v>
      </c>
      <c r="G77" s="4">
        <v>434.45</v>
      </c>
      <c r="H77" s="4">
        <f t="shared" ref="H77" si="200">G77/6.2897</f>
        <v>69.073246736728308</v>
      </c>
      <c r="I77" s="4">
        <v>417.58</v>
      </c>
      <c r="J77" s="4">
        <f t="shared" ref="J77" si="201">I77/6.2897</f>
        <v>66.391083835477048</v>
      </c>
      <c r="K77" s="11">
        <v>439.11</v>
      </c>
      <c r="L77" s="4">
        <f t="shared" ref="L77" si="202">K77/6.2897</f>
        <v>69.814140579041933</v>
      </c>
      <c r="M77" s="4">
        <v>426.89</v>
      </c>
      <c r="N77" s="4">
        <f t="shared" ref="N77" si="203">M77/6.2897</f>
        <v>67.871281619155127</v>
      </c>
      <c r="O77" s="5">
        <f>(49.18*10+50.48*10+51.94*11)/31</f>
        <v>50.578709677419347</v>
      </c>
      <c r="P77" s="5">
        <f t="shared" si="187"/>
        <v>63.71245257076913</v>
      </c>
      <c r="Q77" s="15">
        <v>346.32</v>
      </c>
      <c r="R77" s="4">
        <f t="shared" si="51"/>
        <v>55.061449671685452</v>
      </c>
    </row>
    <row r="78" spans="1:18">
      <c r="A78" s="3" t="s">
        <v>94</v>
      </c>
      <c r="B78" s="4">
        <v>74.994761904761916</v>
      </c>
      <c r="C78" s="4">
        <v>52.97</v>
      </c>
      <c r="D78" s="4">
        <v>56.672000000000004</v>
      </c>
      <c r="E78" s="13">
        <v>0.78382380952380948</v>
      </c>
      <c r="F78" s="4">
        <f t="shared" si="182"/>
        <v>72.301962904685823</v>
      </c>
      <c r="G78" s="4">
        <v>485.4</v>
      </c>
      <c r="H78" s="4">
        <f t="shared" ref="H78" si="204">G78/6.2897</f>
        <v>77.173792072753869</v>
      </c>
      <c r="I78" s="4">
        <v>475.06</v>
      </c>
      <c r="J78" s="4">
        <f t="shared" ref="J78" si="205">I78/6.2897</f>
        <v>75.529834491311192</v>
      </c>
      <c r="K78" s="11">
        <v>490.06</v>
      </c>
      <c r="L78" s="4">
        <f t="shared" ref="L78" si="206">K78/6.2897</f>
        <v>77.914685915067494</v>
      </c>
      <c r="M78" s="4">
        <v>484.37</v>
      </c>
      <c r="N78" s="4">
        <f t="shared" ref="N78" si="207">M78/6.2897</f>
        <v>77.010032274989271</v>
      </c>
      <c r="O78" s="5">
        <f>(57.05*10+55.22*10+55.1*10)/30</f>
        <v>55.79</v>
      </c>
      <c r="P78" s="5">
        <f t="shared" si="187"/>
        <v>71.17671002351112</v>
      </c>
      <c r="Q78" s="15">
        <v>403.8</v>
      </c>
      <c r="R78" s="4">
        <f t="shared" si="51"/>
        <v>64.200200327519596</v>
      </c>
    </row>
    <row r="79" spans="1:18">
      <c r="A79" s="3" t="s">
        <v>95</v>
      </c>
      <c r="B79" s="4">
        <v>71.703750000000014</v>
      </c>
      <c r="C79" s="4">
        <v>43.84</v>
      </c>
      <c r="D79" s="4">
        <v>57.947000000000003</v>
      </c>
      <c r="E79" s="13">
        <v>0.78367142857142857</v>
      </c>
      <c r="F79" s="4">
        <f t="shared" ref="F79" si="208">D79/E79</f>
        <v>73.942979018174526</v>
      </c>
      <c r="G79" s="4">
        <v>492.52</v>
      </c>
      <c r="H79" s="4">
        <f t="shared" ref="H79" si="209">G79/6.2897</f>
        <v>78.305801548563522</v>
      </c>
      <c r="I79" s="4">
        <v>476.22</v>
      </c>
      <c r="J79" s="4">
        <f t="shared" ref="J79" si="210">I79/6.2897</f>
        <v>75.71426300141502</v>
      </c>
      <c r="K79" s="11">
        <v>497.18</v>
      </c>
      <c r="L79" s="4">
        <f t="shared" ref="L79" si="211">K79/6.2897</f>
        <v>79.046695390877147</v>
      </c>
      <c r="M79" s="4">
        <v>485.53</v>
      </c>
      <c r="N79" s="4">
        <f t="shared" ref="N79" si="212">M79/6.2897</f>
        <v>77.194460785093085</v>
      </c>
      <c r="O79" s="5">
        <f>(56.49*10+56.34*10+58.36*11)/31</f>
        <v>57.105161290322584</v>
      </c>
      <c r="P79" s="5">
        <f t="shared" ref="P79" si="213">O79/E79</f>
        <v>72.868754950554731</v>
      </c>
      <c r="Q79" s="15">
        <v>404.96</v>
      </c>
      <c r="R79" s="4">
        <f t="shared" si="51"/>
        <v>64.38462883762341</v>
      </c>
    </row>
    <row r="80" spans="1:18">
      <c r="A80" s="3" t="s">
        <v>96</v>
      </c>
      <c r="B80" s="4">
        <v>75.84</v>
      </c>
      <c r="C80" s="4">
        <v>52.89</v>
      </c>
      <c r="D80" s="4">
        <v>63.66</v>
      </c>
      <c r="E80" s="13">
        <v>0.80420000000000003</v>
      </c>
      <c r="F80" s="4">
        <f t="shared" ref="F80" si="214">D80/E80</f>
        <v>79.159413081323052</v>
      </c>
      <c r="G80" s="4">
        <v>502.41</v>
      </c>
      <c r="H80" s="4">
        <f t="shared" ref="H80" si="215">G80/6.2897</f>
        <v>79.878213587293516</v>
      </c>
      <c r="I80" s="4">
        <v>480.14</v>
      </c>
      <c r="J80" s="4">
        <f t="shared" ref="J80" si="216">I80/6.2897</f>
        <v>76.33750417348999</v>
      </c>
      <c r="K80" s="11">
        <v>507.07</v>
      </c>
      <c r="L80" s="4">
        <f t="shared" ref="L80" si="217">K80/6.2897</f>
        <v>80.619107429607141</v>
      </c>
      <c r="M80" s="4">
        <v>489.45</v>
      </c>
      <c r="N80" s="4">
        <f t="shared" ref="N80" si="218">M80/6.2897</f>
        <v>77.817701957168069</v>
      </c>
      <c r="O80" s="5">
        <f>(60.7*10+62.94*10+64.06*11)/31</f>
        <v>62.614838709677421</v>
      </c>
      <c r="P80" s="5">
        <f t="shared" ref="P80" si="219">O80/E80</f>
        <v>77.859784518375307</v>
      </c>
      <c r="Q80" s="15">
        <v>408.88</v>
      </c>
      <c r="R80" s="4">
        <f t="shared" si="51"/>
        <v>65.007870009698394</v>
      </c>
    </row>
    <row r="81" spans="1:18">
      <c r="A81" s="3" t="s">
        <v>97</v>
      </c>
      <c r="B81" s="4">
        <v>77.982631578947363</v>
      </c>
      <c r="C81" s="4">
        <v>47.468035840128863</v>
      </c>
      <c r="D81" s="4">
        <v>62.183684210526316</v>
      </c>
      <c r="E81" s="13">
        <v>0.79464000000000001</v>
      </c>
      <c r="F81" s="4">
        <f t="shared" ref="F81" si="220">D81/E81</f>
        <v>78.253906436280971</v>
      </c>
      <c r="G81" s="4">
        <v>471.87</v>
      </c>
      <c r="H81" s="4">
        <f t="shared" ref="H81" si="221">G81/6.2897</f>
        <v>75.022656088525693</v>
      </c>
      <c r="I81" s="4">
        <v>455.74</v>
      </c>
      <c r="J81" s="4">
        <f t="shared" ref="J81" si="222">I81/6.2897</f>
        <v>72.458145857513074</v>
      </c>
      <c r="K81" s="11">
        <v>476.53</v>
      </c>
      <c r="L81" s="4">
        <f t="shared" ref="L81" si="223">K81/6.2897</f>
        <v>75.763549930839304</v>
      </c>
      <c r="M81" s="4">
        <v>465.05</v>
      </c>
      <c r="N81" s="4">
        <f t="shared" ref="N81" si="224">M81/6.2897</f>
        <v>73.938343641191153</v>
      </c>
      <c r="O81" s="5">
        <f>(62.1*10+59.82*10+61.96*8)/28</f>
        <v>61.245714285714293</v>
      </c>
      <c r="P81" s="5">
        <f t="shared" ref="P81" si="225">O81/E81</f>
        <v>77.073535545296352</v>
      </c>
      <c r="Q81" s="15">
        <v>384.48</v>
      </c>
      <c r="R81" s="4">
        <f t="shared" si="51"/>
        <v>61.128511693721485</v>
      </c>
    </row>
    <row r="82" spans="1:18">
      <c r="A82" s="3" t="s">
        <v>98</v>
      </c>
      <c r="B82" s="4">
        <v>83.737499999999997</v>
      </c>
      <c r="C82" s="4">
        <v>45.930826996979704</v>
      </c>
      <c r="D82" s="4">
        <v>62.77</v>
      </c>
      <c r="E82" s="13">
        <v>0.77355454545454549</v>
      </c>
      <c r="F82" s="4">
        <f t="shared" ref="F82" si="226">D82/E82</f>
        <v>81.144891939218013</v>
      </c>
      <c r="G82" s="4">
        <v>493.9</v>
      </c>
      <c r="H82" s="4">
        <f t="shared" ref="H82" si="227">G82/6.2897</f>
        <v>78.5252078795491</v>
      </c>
      <c r="I82" s="4">
        <v>486.12</v>
      </c>
      <c r="J82" s="4">
        <f t="shared" ref="J82" si="228">I82/6.2897</f>
        <v>77.28826494109417</v>
      </c>
      <c r="K82" s="11">
        <v>498.56</v>
      </c>
      <c r="L82" s="4">
        <f t="shared" ref="L82" si="229">K82/6.2897</f>
        <v>79.266101721862725</v>
      </c>
      <c r="M82" s="4">
        <v>495.43</v>
      </c>
      <c r="N82" s="4">
        <f t="shared" ref="N82" si="230">M82/6.2897</f>
        <v>78.768462724772249</v>
      </c>
      <c r="O82" s="5">
        <f>(60.53*10+60.87*10+64.19*11)/31</f>
        <v>61.938387096774193</v>
      </c>
      <c r="P82" s="5">
        <f t="shared" ref="P82" si="231">O82/E82</f>
        <v>80.069837945789345</v>
      </c>
      <c r="Q82" s="15">
        <v>414.86</v>
      </c>
      <c r="R82" s="4">
        <f t="shared" si="51"/>
        <v>65.958630777302574</v>
      </c>
    </row>
    <row r="83" spans="1:18">
      <c r="A83" s="3" t="s">
        <v>99</v>
      </c>
      <c r="B83" s="4">
        <v>81.827142857142832</v>
      </c>
      <c r="C83" s="4">
        <v>51.517888534607124</v>
      </c>
      <c r="D83" s="4">
        <v>66.325238095238092</v>
      </c>
      <c r="E83" s="13">
        <v>0.785552380952381</v>
      </c>
      <c r="F83" s="4">
        <f t="shared" ref="F83" si="232">D83/E83</f>
        <v>84.431337366487625</v>
      </c>
      <c r="G83" s="4">
        <v>538.34</v>
      </c>
      <c r="H83" s="4">
        <f t="shared" ref="H83" si="233">G83/6.2897</f>
        <v>85.590727697664448</v>
      </c>
      <c r="I83" s="4">
        <v>512.39</v>
      </c>
      <c r="J83" s="4">
        <f t="shared" ref="J83" si="234">I83/6.2897</f>
        <v>81.464934734566043</v>
      </c>
      <c r="K83" s="11">
        <v>543</v>
      </c>
      <c r="L83" s="4">
        <f t="shared" ref="L83" si="235">K83/6.2897</f>
        <v>86.331621539978059</v>
      </c>
      <c r="M83" s="4">
        <v>521.70000000000005</v>
      </c>
      <c r="N83" s="4">
        <f t="shared" ref="N83" si="236">M83/6.2897</f>
        <v>82.945132518244122</v>
      </c>
      <c r="O83" s="5">
        <f>(62.35*10+66.39*10+67.22*10)/30</f>
        <v>65.320000000000007</v>
      </c>
      <c r="P83" s="5">
        <f t="shared" ref="P83" si="237">O83/E83</f>
        <v>83.15167974006765</v>
      </c>
      <c r="Q83" s="15">
        <v>441.13</v>
      </c>
      <c r="R83" s="4">
        <f t="shared" si="51"/>
        <v>70.135300570774447</v>
      </c>
    </row>
    <row r="84" spans="1:18">
      <c r="A84" s="3" t="s">
        <v>100</v>
      </c>
      <c r="B84" s="4">
        <v>86.469090909090923</v>
      </c>
      <c r="C84" s="4">
        <v>68.514964498133992</v>
      </c>
      <c r="D84" s="4">
        <v>69.989999999999995</v>
      </c>
      <c r="E84" s="13">
        <v>0.77705652173913042</v>
      </c>
      <c r="F84" s="4">
        <f t="shared" ref="F84" si="238">D84/E84</f>
        <v>90.07066801698717</v>
      </c>
      <c r="G84" s="4">
        <v>555.65</v>
      </c>
      <c r="H84" s="4">
        <f t="shared" ref="H84" si="239">G84/6.2897</f>
        <v>88.342846240679208</v>
      </c>
      <c r="I84" s="4">
        <v>543.36</v>
      </c>
      <c r="J84" s="4">
        <f t="shared" ref="J84" si="240">I84/6.2897</f>
        <v>86.388857974148209</v>
      </c>
      <c r="K84" s="11">
        <v>560.30999999999995</v>
      </c>
      <c r="L84" s="4">
        <f t="shared" ref="L84" si="241">K84/6.2897</f>
        <v>89.083740082992819</v>
      </c>
      <c r="M84" s="4">
        <v>552.66999999999996</v>
      </c>
      <c r="N84" s="4">
        <f t="shared" ref="N84" si="242">M84/6.2897</f>
        <v>87.869055757826288</v>
      </c>
      <c r="O84" s="5">
        <f>(68.51*10+70.12*10+68.13*11)/31</f>
        <v>68.894516129032255</v>
      </c>
      <c r="P84" s="5">
        <f t="shared" ref="P84" si="243">O84/E84</f>
        <v>88.660881418045904</v>
      </c>
      <c r="Q84" s="15">
        <v>472.1</v>
      </c>
      <c r="R84" s="4">
        <f t="shared" si="51"/>
        <v>75.059223810356613</v>
      </c>
    </row>
    <row r="85" spans="1:18">
      <c r="A85" s="3" t="s">
        <v>101</v>
      </c>
      <c r="B85" s="4">
        <v>83.024761904761917</v>
      </c>
      <c r="C85" s="4">
        <v>68.388516279854727</v>
      </c>
      <c r="D85" s="4">
        <v>67.322857142857146</v>
      </c>
      <c r="E85" s="13">
        <v>0.76182380952380957</v>
      </c>
      <c r="F85" s="4">
        <f t="shared" ref="F85" si="244">D85/E85</f>
        <v>88.37063938043417</v>
      </c>
      <c r="G85" s="4">
        <v>537.48</v>
      </c>
      <c r="H85" s="4">
        <f t="shared" ref="H85" si="245">G85/6.2897</f>
        <v>85.453996216035748</v>
      </c>
      <c r="I85" s="4">
        <v>522.64</v>
      </c>
      <c r="J85" s="4">
        <f t="shared" ref="J85" si="246">I85/6.2897</f>
        <v>83.094583207466172</v>
      </c>
      <c r="K85" s="11">
        <v>542.14</v>
      </c>
      <c r="L85" s="4">
        <f t="shared" ref="L85" si="247">K85/6.2897</f>
        <v>86.194890058349358</v>
      </c>
      <c r="M85" s="4">
        <v>531.95000000000005</v>
      </c>
      <c r="N85" s="4">
        <f t="shared" ref="N85" si="248">M85/6.2897</f>
        <v>84.574780991144266</v>
      </c>
      <c r="O85" s="5">
        <f>(64.56*10+64.83*10+69.44*10)/30</f>
        <v>66.276666666666671</v>
      </c>
      <c r="P85" s="5">
        <f t="shared" ref="P85" si="249">O85/E85</f>
        <v>86.997368470399977</v>
      </c>
      <c r="Q85" s="15">
        <v>451.38</v>
      </c>
      <c r="R85" s="4">
        <f t="shared" si="51"/>
        <v>71.764949043674577</v>
      </c>
    </row>
    <row r="86" spans="1:18">
      <c r="A86" s="3" t="s">
        <v>102</v>
      </c>
      <c r="B86" s="4">
        <v>91.690000000000012</v>
      </c>
      <c r="C86" s="4">
        <v>69.402704968283558</v>
      </c>
      <c r="D86" s="4">
        <v>70.665999999999997</v>
      </c>
      <c r="E86" s="13">
        <v>0.76120952380952378</v>
      </c>
      <c r="F86" s="4">
        <f t="shared" ref="F86" si="250">D86/E86</f>
        <v>92.833835875236147</v>
      </c>
      <c r="G86" s="4">
        <v>559.41</v>
      </c>
      <c r="H86" s="4">
        <f t="shared" ref="H86" si="251">G86/6.2897</f>
        <v>88.94064899756745</v>
      </c>
      <c r="I86" s="4">
        <v>569.99</v>
      </c>
      <c r="J86" s="4">
        <f t="shared" ref="J86" si="252">I86/6.2897</f>
        <v>90.622764201790233</v>
      </c>
      <c r="K86" s="11">
        <v>564.07000000000005</v>
      </c>
      <c r="L86" s="4">
        <f t="shared" ref="L86" si="253">K86/6.2897</f>
        <v>89.681542839881089</v>
      </c>
      <c r="M86" s="4">
        <v>579.29999999999995</v>
      </c>
      <c r="N86" s="4">
        <f t="shared" ref="N86" si="254">M86/6.2897</f>
        <v>92.102961985468298</v>
      </c>
      <c r="O86" s="5">
        <f>(72.87*10+68.86*10+68.2*11)/31</f>
        <v>69.91935483870968</v>
      </c>
      <c r="P86" s="5">
        <f t="shared" ref="P86" si="255">O86/E86</f>
        <v>91.852969060073775</v>
      </c>
      <c r="Q86" s="15">
        <v>498.73</v>
      </c>
      <c r="R86" s="4">
        <f t="shared" si="51"/>
        <v>79.293130037998637</v>
      </c>
    </row>
    <row r="87" spans="1:18">
      <c r="A87" s="3" t="s">
        <v>103</v>
      </c>
      <c r="B87" s="4">
        <v>86.04</v>
      </c>
      <c r="C87" s="4">
        <v>63.31</v>
      </c>
      <c r="D87" s="4">
        <v>67.63</v>
      </c>
      <c r="E87" s="13">
        <v>0.76690000000000003</v>
      </c>
      <c r="F87" s="4">
        <f t="shared" ref="F87" si="256">D87/E87</f>
        <v>88.186204198722123</v>
      </c>
      <c r="G87" s="4">
        <v>552.91999999999996</v>
      </c>
      <c r="H87" s="4">
        <f t="shared" ref="H87" si="257">G87/6.2897</f>
        <v>87.908803281555549</v>
      </c>
      <c r="I87" s="4">
        <v>536.88</v>
      </c>
      <c r="J87" s="4">
        <f t="shared" ref="J87" si="258">I87/6.2897</f>
        <v>85.358602159085493</v>
      </c>
      <c r="K87" s="11">
        <v>557.58000000000004</v>
      </c>
      <c r="L87" s="4">
        <f t="shared" ref="L87" si="259">K87/6.2897</f>
        <v>88.649697123869188</v>
      </c>
      <c r="M87" s="4">
        <v>546.19000000000005</v>
      </c>
      <c r="N87" s="4">
        <f t="shared" ref="N87" si="260">M87/6.2897</f>
        <v>86.838799942763572</v>
      </c>
      <c r="O87" s="5">
        <f>(67.17*10+65.41*10+67.74*11)/31</f>
        <v>66.804516129032265</v>
      </c>
      <c r="P87" s="5">
        <f t="shared" ref="P87" si="261">O87/E87</f>
        <v>87.10981370326283</v>
      </c>
      <c r="Q87" s="15">
        <v>465.62</v>
      </c>
      <c r="R87" s="4">
        <f t="shared" si="51"/>
        <v>74.028967995293897</v>
      </c>
    </row>
    <row r="88" spans="1:18">
      <c r="A88" s="3" t="s">
        <v>104</v>
      </c>
      <c r="B88" s="4">
        <v>76.583684210526329</v>
      </c>
      <c r="C88" s="4">
        <v>52.618544876306643</v>
      </c>
      <c r="D88" s="4">
        <v>70.087894736842088</v>
      </c>
      <c r="E88" s="13">
        <v>0.76722000000000024</v>
      </c>
      <c r="F88" s="4">
        <f t="shared" ref="F88" si="262">D88/E88</f>
        <v>91.353060056883379</v>
      </c>
      <c r="G88" s="4">
        <v>548.9</v>
      </c>
      <c r="H88" s="4">
        <f t="shared" ref="H88" si="263">G88/6.2897</f>
        <v>87.269663099988875</v>
      </c>
      <c r="I88" s="4">
        <v>530.82000000000005</v>
      </c>
      <c r="J88" s="4">
        <f t="shared" ref="J88" si="264">I88/6.2897</f>
        <v>84.395122183887949</v>
      </c>
      <c r="K88" s="11">
        <v>553.55999999999995</v>
      </c>
      <c r="L88" s="4">
        <f t="shared" ref="L88" si="265">K88/6.2897</f>
        <v>88.010556942302486</v>
      </c>
      <c r="M88" s="4">
        <v>540.13</v>
      </c>
      <c r="N88" s="4">
        <f t="shared" ref="N88" si="266">M88/6.2897</f>
        <v>85.875319967566028</v>
      </c>
      <c r="O88" s="5">
        <f>(67.66*10+68.59*10+71.01*10)/30</f>
        <v>69.086666666666659</v>
      </c>
      <c r="P88" s="5">
        <f t="shared" ref="P88" si="267">O88/E88</f>
        <v>90.048052275314305</v>
      </c>
      <c r="Q88" s="15">
        <v>459.56</v>
      </c>
      <c r="R88" s="4">
        <f t="shared" si="51"/>
        <v>73.065488020096353</v>
      </c>
    </row>
    <row r="89" spans="1:18">
      <c r="A89" s="3" t="s">
        <v>105</v>
      </c>
      <c r="B89" s="4">
        <v>60.231363636363632</v>
      </c>
      <c r="C89" s="4">
        <v>53.557079641009992</v>
      </c>
      <c r="D89" s="4">
        <v>70.776086956521738</v>
      </c>
      <c r="E89" s="13">
        <v>0.7683391304347823</v>
      </c>
      <c r="F89" s="4">
        <f t="shared" ref="F89" si="268">D89/E89</f>
        <v>92.115687139963143</v>
      </c>
      <c r="G89" s="4">
        <v>474.64</v>
      </c>
      <c r="H89" s="4">
        <f t="shared" ref="H89" si="269">G89/6.2897</f>
        <v>75.463058651446019</v>
      </c>
      <c r="I89" s="4">
        <v>510.75</v>
      </c>
      <c r="J89" s="4">
        <f t="shared" ref="J89" si="270">I89/6.2897</f>
        <v>81.20419097890202</v>
      </c>
      <c r="K89" s="11">
        <v>479.3</v>
      </c>
      <c r="L89" s="4">
        <f t="shared" ref="L89" si="271">K89/6.2897</f>
        <v>76.203952493759644</v>
      </c>
      <c r="M89" s="4">
        <v>520.05999999999995</v>
      </c>
      <c r="N89" s="4">
        <f t="shared" ref="N89" si="272">M89/6.2897</f>
        <v>82.684388762580085</v>
      </c>
      <c r="O89" s="5">
        <f>(73.67*10+69.53*10+66.29*11)/31</f>
        <v>69.715806451612906</v>
      </c>
      <c r="P89" s="5">
        <f t="shared" ref="P89" si="273">O89/E89</f>
        <v>90.735722925061253</v>
      </c>
      <c r="Q89" s="15">
        <v>439.49</v>
      </c>
      <c r="R89" s="4">
        <f t="shared" si="51"/>
        <v>69.874556815110424</v>
      </c>
    </row>
    <row r="90" spans="1:18">
      <c r="A90" s="3" t="s">
        <v>106</v>
      </c>
      <c r="B90" s="4">
        <v>38.179999999999993</v>
      </c>
      <c r="C90" s="4">
        <v>14.563852644972332</v>
      </c>
      <c r="D90" s="4">
        <v>56.693333333333328</v>
      </c>
      <c r="E90" s="13">
        <v>0.75735454545454539</v>
      </c>
      <c r="F90" s="4">
        <f t="shared" ref="F90" si="274">D90/E90</f>
        <v>74.857058261012213</v>
      </c>
      <c r="G90" s="4">
        <v>287.55</v>
      </c>
      <c r="H90" s="4">
        <f t="shared" ref="H90" si="275">G90/6.2897</f>
        <v>45.717601793408271</v>
      </c>
      <c r="I90" s="4">
        <v>371.46</v>
      </c>
      <c r="J90" s="4">
        <f t="shared" ref="J90" si="276">I90/6.2897</f>
        <v>59.058460657901009</v>
      </c>
      <c r="K90" s="11">
        <v>292.20999999999998</v>
      </c>
      <c r="L90" s="4">
        <f t="shared" ref="L90" si="277">K90/6.2897</f>
        <v>46.458495635721896</v>
      </c>
      <c r="M90" s="4">
        <v>380.77</v>
      </c>
      <c r="N90" s="4">
        <f t="shared" ref="N90" si="278">M90/6.2897</f>
        <v>60.538658441579088</v>
      </c>
      <c r="O90" s="5">
        <f>(61.11*10+55.81*10+50.64*10)/30</f>
        <v>55.853333333333332</v>
      </c>
      <c r="P90" s="5">
        <f t="shared" ref="P90" si="279">O90/E90</f>
        <v>73.747934396843888</v>
      </c>
      <c r="Q90" s="15">
        <v>300.2</v>
      </c>
      <c r="R90" s="4">
        <f t="shared" si="51"/>
        <v>47.72882649410942</v>
      </c>
    </row>
    <row r="91" spans="1:18">
      <c r="A91" s="3" t="s">
        <v>107</v>
      </c>
      <c r="B91" s="4">
        <v>58.19</v>
      </c>
      <c r="C91" s="4">
        <v>39.9</v>
      </c>
      <c r="D91" s="4">
        <v>48.983000000000004</v>
      </c>
      <c r="E91" s="13">
        <v>0.74336190476190467</v>
      </c>
      <c r="F91" s="4">
        <f t="shared" ref="F91" si="280">D91/E91</f>
        <v>65.893879799623349</v>
      </c>
      <c r="G91" s="4">
        <v>158.78</v>
      </c>
      <c r="H91" s="4">
        <f t="shared" ref="H91" si="281">G91/6.2897</f>
        <v>25.244447270935023</v>
      </c>
      <c r="I91" s="4">
        <v>287.24</v>
      </c>
      <c r="J91" s="4">
        <f t="shared" ref="J91" si="282">I91/6.2897</f>
        <v>45.668314863983973</v>
      </c>
      <c r="K91" s="11">
        <v>163.44</v>
      </c>
      <c r="L91" s="4">
        <f t="shared" ref="L91" si="283">K91/6.2897</f>
        <v>25.985341113248644</v>
      </c>
      <c r="M91" s="4">
        <v>296.55</v>
      </c>
      <c r="N91" s="4">
        <f t="shared" ref="N91" si="284">M91/6.2897</f>
        <v>47.148512647662052</v>
      </c>
      <c r="O91" s="5">
        <f>(51.13*10+48.82*10+43.91*11)/31</f>
        <v>47.822903225806449</v>
      </c>
      <c r="P91" s="5">
        <f t="shared" ref="P91" si="285">O91/E91</f>
        <v>64.333271478478437</v>
      </c>
      <c r="Q91" s="15"/>
      <c r="R91" s="4"/>
    </row>
    <row r="92" spans="1:18">
      <c r="A92" s="3" t="s">
        <v>108</v>
      </c>
      <c r="B92" s="4">
        <v>68.23666666666665</v>
      </c>
      <c r="C92" s="4">
        <v>45.643105513159497</v>
      </c>
      <c r="D92" s="4">
        <v>51.550476190476196</v>
      </c>
      <c r="E92" s="13">
        <v>0.75148260869565209</v>
      </c>
      <c r="F92" s="4">
        <f t="shared" ref="F92" si="286">D92/E92</f>
        <v>68.598362216195966</v>
      </c>
      <c r="G92" s="4">
        <v>403.55</v>
      </c>
      <c r="H92" s="4">
        <f t="shared" ref="H92" si="287">G92/6.2897</f>
        <v>64.160452803790321</v>
      </c>
      <c r="I92" s="4">
        <v>404.79</v>
      </c>
      <c r="J92" s="4">
        <f t="shared" ref="J92" si="288">I92/6.2897</f>
        <v>64.357600521487512</v>
      </c>
      <c r="K92" s="11">
        <v>408.21</v>
      </c>
      <c r="L92" s="4">
        <f t="shared" ref="L92" si="289">K92/6.2897</f>
        <v>64.901346646103946</v>
      </c>
      <c r="M92" s="4">
        <v>414.1</v>
      </c>
      <c r="N92" s="4">
        <f t="shared" ref="N92" si="290">M92/6.2897</f>
        <v>65.837798305165592</v>
      </c>
      <c r="O92" s="5">
        <f>(47.62*10+51.32*10+52.32*11)/31</f>
        <v>50.481290322580648</v>
      </c>
      <c r="P92" s="5">
        <f t="shared" ref="P92" si="291">O92/E92</f>
        <v>67.175593604489393</v>
      </c>
      <c r="Q92" s="15">
        <v>333.53</v>
      </c>
      <c r="R92" s="4">
        <f t="shared" si="51"/>
        <v>53.027966357695909</v>
      </c>
    </row>
    <row r="93" spans="1:18">
      <c r="A93" s="3" t="s">
        <v>109</v>
      </c>
      <c r="B93" s="4">
        <v>72.03</v>
      </c>
      <c r="C93" s="4">
        <v>59.88</v>
      </c>
      <c r="D93" s="4">
        <v>54.86</v>
      </c>
      <c r="E93" s="13">
        <v>0.7571</v>
      </c>
      <c r="F93" s="4">
        <f t="shared" ref="F93" si="292">D93/E93</f>
        <v>72.460705322942815</v>
      </c>
      <c r="G93" s="4">
        <v>469.28</v>
      </c>
      <c r="H93" s="4">
        <f t="shared" ref="H93" si="293">G93/6.2897</f>
        <v>74.610871742690435</v>
      </c>
      <c r="I93" s="4">
        <v>459.36</v>
      </c>
      <c r="J93" s="4">
        <f t="shared" ref="J93" si="294">I93/6.2897</f>
        <v>73.03369000111293</v>
      </c>
      <c r="K93" s="11">
        <v>473.94</v>
      </c>
      <c r="L93" s="4">
        <f t="shared" ref="L93" si="295">K93/6.2897</f>
        <v>75.35176558500406</v>
      </c>
      <c r="M93" s="4">
        <v>468.67</v>
      </c>
      <c r="N93" s="4">
        <f t="shared" ref="N93" si="296">M93/6.2897</f>
        <v>74.513887784791009</v>
      </c>
      <c r="O93" s="5">
        <f>(52.88*10+53.92*10+55.74*8)/28</f>
        <v>54.068571428571431</v>
      </c>
      <c r="P93" s="5">
        <f t="shared" ref="P93" si="297">O93/E93</f>
        <v>71.415363133762298</v>
      </c>
      <c r="Q93" s="15">
        <v>388.1</v>
      </c>
      <c r="R93" s="4">
        <f t="shared" si="51"/>
        <v>61.704055837321341</v>
      </c>
    </row>
    <row r="94" spans="1:18">
      <c r="A94" s="3" t="s">
        <v>110</v>
      </c>
      <c r="B94" s="4">
        <v>75.88300000000001</v>
      </c>
      <c r="C94" s="4">
        <v>64.45</v>
      </c>
      <c r="D94" s="4">
        <v>58.029000000000011</v>
      </c>
      <c r="E94" s="13">
        <v>0.74802499999999994</v>
      </c>
      <c r="F94" s="4">
        <f t="shared" ref="F94" si="298">D94/E94</f>
        <v>77.57628421509979</v>
      </c>
      <c r="G94" s="4">
        <v>497.77</v>
      </c>
      <c r="H94" s="4">
        <f t="shared" ref="H94" si="299">G94/6.2897</f>
        <v>79.140499546878232</v>
      </c>
      <c r="I94" s="4">
        <v>486.46</v>
      </c>
      <c r="J94" s="4">
        <f t="shared" ref="J94" si="300">I94/6.2897</f>
        <v>77.342321573365979</v>
      </c>
      <c r="K94" s="11">
        <v>502.43</v>
      </c>
      <c r="L94" s="4">
        <f t="shared" ref="L94" si="301">K94/6.2897</f>
        <v>79.881393389191857</v>
      </c>
      <c r="M94" s="4">
        <v>495.77</v>
      </c>
      <c r="N94" s="4">
        <f t="shared" ref="N94" si="302">M94/6.2897</f>
        <v>78.822519357044058</v>
      </c>
      <c r="O94" s="5">
        <f>(55.16*10+57.4*10+58.54*11)/31</f>
        <v>57.081935483870964</v>
      </c>
      <c r="P94" s="5">
        <f t="shared" ref="P94" si="303">O94/E94</f>
        <v>76.310197498574198</v>
      </c>
      <c r="Q94" s="15">
        <v>415.2</v>
      </c>
      <c r="R94" s="4">
        <f t="shared" si="51"/>
        <v>66.012687409574383</v>
      </c>
    </row>
    <row r="95" spans="1:18">
      <c r="A95" s="3" t="s">
        <v>111</v>
      </c>
      <c r="B95" s="4">
        <v>86.202380952380949</v>
      </c>
      <c r="C95" s="4">
        <v>71.230094791052309</v>
      </c>
      <c r="D95" s="4">
        <v>63.870952380952389</v>
      </c>
      <c r="E95" s="13">
        <v>0.7475772727272727</v>
      </c>
      <c r="F95" s="4">
        <f t="shared" ref="F95" si="304">D95/E95</f>
        <v>85.437258074930085</v>
      </c>
      <c r="G95" s="4">
        <v>536.75</v>
      </c>
      <c r="H95" s="4">
        <f t="shared" ref="H95" si="305">G95/6.2897</f>
        <v>85.337933446746263</v>
      </c>
      <c r="I95" s="4">
        <v>524.5</v>
      </c>
      <c r="J95" s="4">
        <f t="shared" ref="J95" si="306">I95/6.2897</f>
        <v>83.39030478401196</v>
      </c>
      <c r="K95" s="11">
        <v>541.39</v>
      </c>
      <c r="L95" s="4">
        <f t="shared" ref="L95" si="307">K95/6.2897</f>
        <v>86.075647487161547</v>
      </c>
      <c r="M95" s="4">
        <v>533.80999999999995</v>
      </c>
      <c r="N95" s="4">
        <f t="shared" ref="N95" si="308">M95/6.2897</f>
        <v>84.870502567690025</v>
      </c>
      <c r="O95" s="5">
        <f>(62.1*10+62.85*10+63.44*10)/30</f>
        <v>62.796666666666667</v>
      </c>
      <c r="P95" s="5">
        <f t="shared" ref="P95" si="309">O95/E95</f>
        <v>84.000235102887913</v>
      </c>
      <c r="Q95" s="15">
        <v>453.24</v>
      </c>
      <c r="R95" s="4">
        <f t="shared" si="51"/>
        <v>72.060670620220364</v>
      </c>
    </row>
    <row r="96" spans="1:18">
      <c r="A96" s="3" t="s">
        <v>112</v>
      </c>
      <c r="B96" s="4">
        <v>81.87772727272727</v>
      </c>
      <c r="C96" s="4">
        <v>70.590300944621958</v>
      </c>
      <c r="D96" s="4">
        <v>60.94045454545455</v>
      </c>
      <c r="E96" s="13">
        <v>0.74287826086956532</v>
      </c>
      <c r="F96" s="4">
        <f t="shared" ref="F96" si="310">D96/E96</f>
        <v>82.032895233899552</v>
      </c>
      <c r="G96" s="4">
        <v>523.02</v>
      </c>
      <c r="H96" s="4">
        <f t="shared" ref="H96" si="311">G96/6.2897</f>
        <v>83.154999443534663</v>
      </c>
      <c r="I96" s="4">
        <v>509.44</v>
      </c>
      <c r="J96" s="4">
        <f t="shared" ref="J96" si="312">I96/6.2897</f>
        <v>80.995913954560635</v>
      </c>
      <c r="K96" s="11">
        <v>527.67999999999995</v>
      </c>
      <c r="L96" s="4">
        <f t="shared" ref="L96" si="313">K96/6.2897</f>
        <v>83.895893285848288</v>
      </c>
      <c r="M96" s="4">
        <v>518.75</v>
      </c>
      <c r="N96" s="4">
        <f t="shared" ref="N96" si="314">M96/6.2897</f>
        <v>82.476111738238714</v>
      </c>
      <c r="O96" s="5">
        <f>(61.04*10+61.24*10+57.63*11)/31</f>
        <v>59.894516129032262</v>
      </c>
      <c r="P96" s="5">
        <f t="shared" ref="P96" si="315">O96/E96</f>
        <v>80.624941237240691</v>
      </c>
      <c r="Q96" s="15">
        <v>438.18</v>
      </c>
      <c r="R96" s="4">
        <f t="shared" si="51"/>
        <v>69.666279790769039</v>
      </c>
    </row>
    <row r="97" spans="1:18">
      <c r="A97" s="3" t="s">
        <v>114</v>
      </c>
      <c r="B97" s="4">
        <v>72.094499999999996</v>
      </c>
      <c r="C97" s="4">
        <v>55.440442035915432</v>
      </c>
      <c r="D97" s="4">
        <v>54.706499999999991</v>
      </c>
      <c r="E97" s="13">
        <v>0.75287999999999988</v>
      </c>
      <c r="F97" s="4">
        <f t="shared" ref="F97:F102" si="316">D97/E97</f>
        <v>72.662974179152059</v>
      </c>
      <c r="G97" s="4">
        <v>449.79</v>
      </c>
      <c r="H97" s="4">
        <f t="shared" ref="H97" si="317">G97/6.2897</f>
        <v>71.512154792756419</v>
      </c>
      <c r="I97" s="4">
        <v>443.24</v>
      </c>
      <c r="J97" s="4">
        <f t="shared" ref="J97" si="318">I97/6.2897</f>
        <v>70.470769671049496</v>
      </c>
      <c r="K97" s="11">
        <v>454.45</v>
      </c>
      <c r="L97" s="4">
        <f t="shared" ref="L97" si="319">K97/6.2897</f>
        <v>72.25304863507003</v>
      </c>
      <c r="M97" s="4">
        <v>452.55</v>
      </c>
      <c r="N97" s="4">
        <f t="shared" ref="N97" si="320">M97/6.2897</f>
        <v>71.950967454727575</v>
      </c>
      <c r="O97" s="5">
        <f>(52.32*10+52.05*10+57.22*10)/30</f>
        <v>53.863333333333337</v>
      </c>
      <c r="P97" s="5">
        <f t="shared" ref="P97:P102" si="321">O97/E97</f>
        <v>71.543052456345421</v>
      </c>
      <c r="Q97" s="15">
        <v>371.98</v>
      </c>
      <c r="R97" s="4">
        <f t="shared" ref="R97" si="322">Q97/6.2897</f>
        <v>59.1411355072579</v>
      </c>
    </row>
    <row r="98" spans="1:18">
      <c r="A98" s="3" t="s">
        <v>115</v>
      </c>
      <c r="B98" s="4">
        <v>76.927619047619061</v>
      </c>
      <c r="C98" s="4">
        <v>58.565178754528681</v>
      </c>
      <c r="D98" s="4">
        <v>57.546363636363623</v>
      </c>
      <c r="E98" s="13">
        <v>0.76325217391304345</v>
      </c>
      <c r="F98" s="4">
        <f t="shared" si="316"/>
        <v>75.396265616034555</v>
      </c>
      <c r="G98" s="4">
        <v>455.11</v>
      </c>
      <c r="H98" s="4">
        <f t="shared" ref="H98" si="323">G98/6.2897</f>
        <v>72.357982097715322</v>
      </c>
      <c r="I98" s="4">
        <v>452.29</v>
      </c>
      <c r="J98" s="4">
        <f t="shared" ref="J98" si="324">I98/6.2897</f>
        <v>71.909630030049129</v>
      </c>
      <c r="K98" s="11">
        <v>459.77</v>
      </c>
      <c r="L98" s="4">
        <f t="shared" ref="L98" si="325">K98/6.2897</f>
        <v>73.098875940028933</v>
      </c>
      <c r="M98" s="4">
        <v>461.6</v>
      </c>
      <c r="N98" s="4">
        <f t="shared" ref="N98:N103" si="326">M98/6.2897</f>
        <v>73.389827813727209</v>
      </c>
      <c r="O98" s="5">
        <f>(56.85*10+57.14*10+55.6*11)/31</f>
        <v>56.5</v>
      </c>
      <c r="P98" s="5">
        <f t="shared" si="321"/>
        <v>74.025337799348335</v>
      </c>
      <c r="Q98" s="15">
        <v>381.03</v>
      </c>
      <c r="R98" s="4">
        <f t="shared" ref="R98" si="327">Q98/6.2897</f>
        <v>60.579995866257526</v>
      </c>
    </row>
    <row r="99" spans="1:18">
      <c r="A99" s="3" t="s">
        <v>116</v>
      </c>
      <c r="B99" s="4">
        <v>74.50772727272728</v>
      </c>
      <c r="C99" s="4">
        <v>57.20249514363968</v>
      </c>
      <c r="D99" s="4">
        <v>54.844090909090909</v>
      </c>
      <c r="E99" s="13">
        <v>0.75346363636363634</v>
      </c>
      <c r="F99" s="4">
        <f t="shared" si="316"/>
        <v>72.78930032214862</v>
      </c>
      <c r="G99" s="4">
        <v>459.78</v>
      </c>
      <c r="H99" s="4">
        <f t="shared" ref="H99" si="328">G99/6.2897</f>
        <v>73.100465840978103</v>
      </c>
      <c r="I99" s="4">
        <v>449.14</v>
      </c>
      <c r="J99" s="4">
        <f t="shared" ref="J99" si="329">I99/6.2897</f>
        <v>71.408811231060298</v>
      </c>
      <c r="K99" s="11">
        <v>464.44</v>
      </c>
      <c r="L99" s="4">
        <f t="shared" ref="L99" si="330">K99/6.2897</f>
        <v>73.841359683291728</v>
      </c>
      <c r="M99" s="4">
        <v>458.45</v>
      </c>
      <c r="N99" s="4">
        <f t="shared" si="326"/>
        <v>72.889009014738377</v>
      </c>
      <c r="O99" s="5">
        <f>(53.19*10+54.34*10+53.98*11)/31</f>
        <v>53.841290322580647</v>
      </c>
      <c r="P99" s="5">
        <f t="shared" si="321"/>
        <v>71.458379308694049</v>
      </c>
      <c r="Q99" s="15">
        <v>377.88</v>
      </c>
      <c r="R99" s="4">
        <f t="shared" ref="R99" si="331">Q99/6.2897</f>
        <v>60.079177067268709</v>
      </c>
    </row>
    <row r="100" spans="1:18">
      <c r="A100" s="3" t="s">
        <v>117</v>
      </c>
      <c r="B100" s="4">
        <v>76.28</v>
      </c>
      <c r="C100" s="4">
        <v>59.38</v>
      </c>
      <c r="D100" s="4">
        <v>57.03</v>
      </c>
      <c r="E100" s="13">
        <v>0.76</v>
      </c>
      <c r="F100" s="4">
        <f t="shared" si="316"/>
        <v>75.03947368421052</v>
      </c>
      <c r="G100" s="4">
        <v>493.44</v>
      </c>
      <c r="H100" s="4">
        <f t="shared" ref="H100" si="332">G100/6.2897</f>
        <v>78.452072435887246</v>
      </c>
      <c r="I100" s="4">
        <v>471.07</v>
      </c>
      <c r="J100" s="4">
        <f t="shared" ref="J100" si="333">I100/6.2897</f>
        <v>74.895464012592015</v>
      </c>
      <c r="K100" s="11">
        <v>498.1</v>
      </c>
      <c r="L100" s="4">
        <f t="shared" ref="L100" si="334">K100/6.2897</f>
        <v>79.192966278200871</v>
      </c>
      <c r="M100" s="4">
        <v>480.38</v>
      </c>
      <c r="N100" s="4">
        <f t="shared" si="326"/>
        <v>76.375661796270094</v>
      </c>
      <c r="O100" s="5">
        <f>(55.15*10+56.2*10+55.68*10)/30</f>
        <v>55.676666666666662</v>
      </c>
      <c r="P100" s="5">
        <f t="shared" si="321"/>
        <v>73.258771929824562</v>
      </c>
      <c r="Q100" s="15">
        <v>399.81</v>
      </c>
      <c r="R100" s="4">
        <f t="shared" ref="R100" si="335">Q100/6.2897</f>
        <v>63.565829848800419</v>
      </c>
    </row>
    <row r="101" spans="1:18">
      <c r="A101" s="3" t="s">
        <v>118</v>
      </c>
      <c r="B101" s="4">
        <v>70.606956521739136</v>
      </c>
      <c r="C101" s="4">
        <v>55.348898562194961</v>
      </c>
      <c r="D101" s="4">
        <v>54.005652173913042</v>
      </c>
      <c r="E101" s="13">
        <v>0.7581</v>
      </c>
      <c r="F101" s="4">
        <f t="shared" si="316"/>
        <v>71.238164060035672</v>
      </c>
      <c r="G101" s="4">
        <v>451.15</v>
      </c>
      <c r="H101" s="4">
        <f t="shared" ref="H101" si="336">G101/6.2897</f>
        <v>71.728381321843642</v>
      </c>
      <c r="I101" s="4">
        <v>431.11</v>
      </c>
      <c r="J101" s="4">
        <f t="shared" ref="J101" si="337">I101/6.2897</f>
        <v>68.542219819705238</v>
      </c>
      <c r="K101" s="11">
        <v>455.81</v>
      </c>
      <c r="L101" s="4">
        <f t="shared" ref="L101" si="338">K101/6.2897</f>
        <v>72.469275164157281</v>
      </c>
      <c r="M101" s="4">
        <v>440.42</v>
      </c>
      <c r="N101" s="4">
        <f t="shared" si="326"/>
        <v>70.022417603383317</v>
      </c>
      <c r="O101" s="5">
        <f>(51.87*10+52.91*10+54.48*11)/31</f>
        <v>53.131612903225793</v>
      </c>
      <c r="P101" s="5">
        <f t="shared" si="321"/>
        <v>70.085230053061323</v>
      </c>
      <c r="Q101" s="15">
        <v>359.85</v>
      </c>
      <c r="R101" s="4">
        <f t="shared" ref="R101" si="339">Q101/6.2897</f>
        <v>57.212585655913642</v>
      </c>
    </row>
    <row r="102" spans="1:18">
      <c r="A102" s="3" t="s">
        <v>119</v>
      </c>
      <c r="B102" s="4">
        <v>72.429000000000002</v>
      </c>
      <c r="C102" s="4">
        <v>56.022592601931457</v>
      </c>
      <c r="D102" s="4">
        <v>57.070000000000007</v>
      </c>
      <c r="E102" s="13">
        <v>0.75540952380952398</v>
      </c>
      <c r="F102" s="4">
        <f t="shared" si="316"/>
        <v>75.548425325903324</v>
      </c>
      <c r="G102" s="4">
        <v>479.89</v>
      </c>
      <c r="H102" s="4">
        <f t="shared" ref="H102" si="340">G102/6.2897</f>
        <v>76.297756649760714</v>
      </c>
      <c r="I102" s="4">
        <v>467.69</v>
      </c>
      <c r="J102" s="4">
        <f t="shared" ref="J102" si="341">I102/6.2897</f>
        <v>74.358077491772264</v>
      </c>
      <c r="K102" s="11">
        <v>484.55</v>
      </c>
      <c r="L102" s="4">
        <f t="shared" ref="L102" si="342">K102/6.2897</f>
        <v>77.038650492074353</v>
      </c>
      <c r="M102" s="4">
        <v>477</v>
      </c>
      <c r="N102" s="4">
        <f t="shared" si="326"/>
        <v>75.838275275450343</v>
      </c>
      <c r="O102" s="5">
        <f>(55.76*10+56.01*10+56.49*10)/30</f>
        <v>56.086666666666666</v>
      </c>
      <c r="P102" s="5">
        <f t="shared" si="321"/>
        <v>74.246703144305187</v>
      </c>
      <c r="Q102" s="15">
        <v>396.43</v>
      </c>
      <c r="R102" s="4">
        <f t="shared" ref="R102" si="343">Q102/6.2897</f>
        <v>63.028443327980668</v>
      </c>
    </row>
    <row r="103" spans="1:18">
      <c r="A103" s="3" t="s">
        <v>120</v>
      </c>
      <c r="B103" s="4">
        <v>76.734761904761896</v>
      </c>
      <c r="C103" s="4">
        <v>51.494096031503794</v>
      </c>
      <c r="D103" s="4">
        <v>59.804761904761897</v>
      </c>
      <c r="E103" s="13">
        <v>0.75950454545454538</v>
      </c>
      <c r="F103" s="4">
        <f t="shared" ref="F103" si="344">D103/E103</f>
        <v>78.741809068397572</v>
      </c>
      <c r="G103" s="4">
        <v>473.35</v>
      </c>
      <c r="H103" s="4">
        <f t="shared" ref="H103" si="345">G103/6.2897</f>
        <v>75.257961429002975</v>
      </c>
      <c r="I103" s="4">
        <v>463.45</v>
      </c>
      <c r="J103" s="4">
        <f t="shared" ref="J103" si="346">I103/6.2897</f>
        <v>73.683959489323811</v>
      </c>
      <c r="K103" s="11">
        <v>478.01</v>
      </c>
      <c r="L103" s="4">
        <f t="shared" ref="L103" si="347">K103/6.2897</f>
        <v>75.9988552713166</v>
      </c>
      <c r="M103" s="4">
        <v>472.76</v>
      </c>
      <c r="N103" s="4">
        <f t="shared" si="326"/>
        <v>75.164157273001891</v>
      </c>
      <c r="O103" s="5">
        <f>(57*10+59.19*10+60.2*11)/31</f>
        <v>58.841935483870969</v>
      </c>
      <c r="P103" s="5">
        <f t="shared" ref="P103" si="348">O103/E103</f>
        <v>77.474105765430906</v>
      </c>
      <c r="Q103" s="15">
        <v>392.19</v>
      </c>
      <c r="R103" s="4">
        <f t="shared" ref="R103" si="349">Q103/6.2897</f>
        <v>62.354325325532223</v>
      </c>
    </row>
    <row r="104" spans="1:18">
      <c r="A104" s="3" t="s">
        <v>121</v>
      </c>
      <c r="B104" s="4">
        <v>70.37</v>
      </c>
      <c r="C104" s="4">
        <v>48.163293162184139</v>
      </c>
      <c r="D104" s="4">
        <v>57.528571428571425</v>
      </c>
      <c r="E104" s="13">
        <v>0.76448260869565221</v>
      </c>
      <c r="F104" s="4">
        <f t="shared" ref="F104" si="350">D104/E104</f>
        <v>75.251641795652802</v>
      </c>
      <c r="G104" s="4">
        <v>464.48</v>
      </c>
      <c r="H104" s="4">
        <f t="shared" ref="H104" si="351">G104/6.2897</f>
        <v>73.847719287088424</v>
      </c>
      <c r="I104" s="4">
        <v>446.47</v>
      </c>
      <c r="J104" s="4">
        <f t="shared" ref="J104" si="352">I104/6.2897</f>
        <v>70.984307677631691</v>
      </c>
      <c r="K104" s="11">
        <v>469.14</v>
      </c>
      <c r="L104" s="4">
        <f t="shared" ref="L104" si="353">K104/6.2897</f>
        <v>74.588613129402034</v>
      </c>
      <c r="M104" s="4">
        <v>455.78</v>
      </c>
      <c r="N104" s="4">
        <f t="shared" ref="N104" si="354">M104/6.2897</f>
        <v>72.464505461309756</v>
      </c>
      <c r="O104" s="5">
        <f>(60.56*10+57.49*10+53.26*11)/31</f>
        <v>56.979354838709682</v>
      </c>
      <c r="P104" s="5">
        <f t="shared" ref="P104" si="355">O104/E104</f>
        <v>74.533225727563547</v>
      </c>
      <c r="Q104" s="15">
        <v>375.21</v>
      </c>
      <c r="R104" s="4">
        <f t="shared" ref="R104" si="356">Q104/6.2897</f>
        <v>59.654673513840088</v>
      </c>
    </row>
    <row r="105" spans="1:18">
      <c r="A105" s="3" t="s">
        <v>122</v>
      </c>
      <c r="B105" s="4">
        <v>64.837894736842102</v>
      </c>
      <c r="C105" s="4">
        <v>36.241655319007606</v>
      </c>
      <c r="D105" s="4">
        <v>50.542105263157893</v>
      </c>
      <c r="E105" s="13">
        <v>0.75272500000000009</v>
      </c>
      <c r="F105" s="4">
        <f t="shared" ref="F105" si="357">D105/E105</f>
        <v>67.145511658517904</v>
      </c>
      <c r="G105" s="4">
        <v>389.95</v>
      </c>
      <c r="H105" s="4">
        <f t="shared" ref="H105" si="358">G105/6.2897</f>
        <v>61.998187512917944</v>
      </c>
      <c r="I105" s="4">
        <v>380.21</v>
      </c>
      <c r="J105" s="4">
        <f t="shared" ref="J105" si="359">I105/6.2897</f>
        <v>60.449623988425522</v>
      </c>
      <c r="K105" s="11">
        <v>394.61</v>
      </c>
      <c r="L105" s="4">
        <f t="shared" ref="L105" si="360">K105/6.2897</f>
        <v>62.739081355231576</v>
      </c>
      <c r="M105" s="4">
        <v>389.52</v>
      </c>
      <c r="N105" s="4">
        <f t="shared" ref="N105" si="361">M105/6.2897</f>
        <v>61.929821772103594</v>
      </c>
      <c r="O105" s="5">
        <f>(49.51*10+50.99*10+58.65*9)/29</f>
        <v>52.856896551724134</v>
      </c>
      <c r="P105" s="5">
        <f t="shared" ref="P105" si="362">O105/E105</f>
        <v>70.220726761731214</v>
      </c>
      <c r="Q105" s="15">
        <v>308.95</v>
      </c>
      <c r="R105" s="4">
        <f t="shared" ref="R105" si="363">Q105/6.2897</f>
        <v>49.119989824633926</v>
      </c>
    </row>
    <row r="106" spans="1:18">
      <c r="A106" s="3" t="s">
        <v>123</v>
      </c>
      <c r="B106" s="4">
        <v>38.975909090909099</v>
      </c>
      <c r="C106" s="4">
        <v>17.895243645946838</v>
      </c>
      <c r="D106" s="4">
        <v>30.445454545454549</v>
      </c>
      <c r="E106" s="13">
        <v>0.71750909090909087</v>
      </c>
      <c r="F106" s="4">
        <f t="shared" ref="F106" si="364">D106/E106</f>
        <v>42.432151635709403</v>
      </c>
      <c r="G106" s="4">
        <v>240.35</v>
      </c>
      <c r="H106" s="4">
        <f t="shared" ref="H106" si="365">G106/6.2897</f>
        <v>38.213269313321781</v>
      </c>
      <c r="I106" s="4">
        <v>219.3</v>
      </c>
      <c r="J106" s="4">
        <f t="shared" ref="J106" si="366">I106/6.2897</f>
        <v>34.866527815317106</v>
      </c>
      <c r="K106" s="11">
        <v>245.01</v>
      </c>
      <c r="L106" s="4">
        <f t="shared" ref="L106" si="367">K106/6.2897</f>
        <v>38.954163155635406</v>
      </c>
      <c r="M106" s="4">
        <v>228.61</v>
      </c>
      <c r="N106" s="4">
        <f t="shared" ref="N106" si="368">M106/6.2897</f>
        <v>36.346725598995185</v>
      </c>
      <c r="O106" s="5">
        <f>(41.07*10+27.34*10+21.24*11)/31</f>
        <v>29.604516129032255</v>
      </c>
      <c r="P106" s="5">
        <f t="shared" ref="P106" si="369">O106/E106</f>
        <v>41.260126880794012</v>
      </c>
      <c r="Q106" s="15">
        <v>148.04</v>
      </c>
      <c r="R106" s="4">
        <f t="shared" ref="R106" si="370">Q106/6.2897</f>
        <v>23.53689365152551</v>
      </c>
    </row>
    <row r="107" spans="1:18">
      <c r="A107" s="3" t="s">
        <v>124</v>
      </c>
      <c r="B107" s="4">
        <v>14.393333333333336</v>
      </c>
      <c r="C107" s="4">
        <v>4.917456972251494</v>
      </c>
      <c r="D107" s="4">
        <v>16.699047619047612</v>
      </c>
      <c r="E107" s="13">
        <v>0.71174999999999988</v>
      </c>
      <c r="F107" s="4">
        <f t="shared" ref="F107" si="371">D107/E107</f>
        <v>23.461956612641536</v>
      </c>
      <c r="G107" s="4">
        <v>163.88</v>
      </c>
      <c r="H107" s="4">
        <f t="shared" ref="H107" si="372">G107/6.2897</f>
        <v>26.055296755012161</v>
      </c>
      <c r="I107" s="4">
        <v>143.76</v>
      </c>
      <c r="J107" s="4">
        <f t="shared" ref="J107" si="373">I107/6.2897</f>
        <v>22.85641604528038</v>
      </c>
      <c r="K107" s="11">
        <v>168.54</v>
      </c>
      <c r="L107" s="4">
        <f t="shared" ref="L107" si="374">K107/6.2897</f>
        <v>26.796190597325786</v>
      </c>
      <c r="M107" s="4">
        <v>153.07</v>
      </c>
      <c r="N107" s="4">
        <f t="shared" ref="N107" si="375">M107/6.2897</f>
        <v>24.336613828958455</v>
      </c>
      <c r="O107" s="5">
        <f>(24.1*10+19.09*10+21.82*10)/30</f>
        <v>21.669999999999998</v>
      </c>
      <c r="P107" s="5">
        <f t="shared" ref="P107" si="376">O107/E107</f>
        <v>30.446083596768531</v>
      </c>
      <c r="Q107" s="15">
        <v>72.5</v>
      </c>
      <c r="R107" s="4">
        <f t="shared" ref="R107" si="377">Q107/6.2897</f>
        <v>11.526781881488784</v>
      </c>
    </row>
    <row r="108" spans="1:18">
      <c r="A108" s="3" t="s">
        <v>125</v>
      </c>
      <c r="B108" s="4">
        <v>39.090999999999994</v>
      </c>
      <c r="C108" s="4">
        <v>16.303545174531163</v>
      </c>
      <c r="D108" s="4">
        <v>28.527500000000003</v>
      </c>
      <c r="E108" s="13">
        <v>0.71579523809523793</v>
      </c>
      <c r="F108" s="4">
        <f t="shared" ref="F108" si="378">D108/E108</f>
        <v>39.854274632942399</v>
      </c>
      <c r="G108" s="4">
        <v>166.29</v>
      </c>
      <c r="H108" s="4">
        <f t="shared" ref="H108" si="379">G108/6.2897</f>
        <v>26.438462883762341</v>
      </c>
      <c r="I108" s="4">
        <v>143.37</v>
      </c>
      <c r="J108" s="4">
        <f t="shared" ref="J108" si="380">I108/6.2897</f>
        <v>22.794409908262715</v>
      </c>
      <c r="K108" s="11">
        <v>170.95</v>
      </c>
      <c r="L108" s="4">
        <f t="shared" ref="L108" si="381">K108/6.2897</f>
        <v>27.179356726075966</v>
      </c>
      <c r="M108" s="4">
        <v>152.68</v>
      </c>
      <c r="N108" s="4">
        <f t="shared" ref="N108" si="382">M108/6.2897</f>
        <v>24.274607691940794</v>
      </c>
      <c r="O108" s="5">
        <f>(23*10+27.89*10+33.02*11)/31</f>
        <v>28.132903225806452</v>
      </c>
      <c r="P108" s="5">
        <f t="shared" ref="P108" si="383">O108/E108</f>
        <v>39.303004167322101</v>
      </c>
      <c r="Q108" s="15">
        <v>72.11</v>
      </c>
      <c r="R108" s="4">
        <f t="shared" ref="R108" si="384">Q108/6.2897</f>
        <v>11.464775744471119</v>
      </c>
    </row>
    <row r="109" spans="1:18">
      <c r="A109" s="3" t="s">
        <v>126</v>
      </c>
      <c r="B109" s="4">
        <v>47.667727272727262</v>
      </c>
      <c r="C109" s="4">
        <v>46.027258897942346</v>
      </c>
      <c r="D109" s="4">
        <v>38.300454545454549</v>
      </c>
      <c r="E109" s="13">
        <v>0.73778181818181809</v>
      </c>
      <c r="F109" s="4">
        <f t="shared" ref="F109" si="385">D109/E109</f>
        <v>51.912982404258479</v>
      </c>
      <c r="G109" s="4">
        <v>360.45</v>
      </c>
      <c r="H109" s="4">
        <f t="shared" ref="H109" si="386">G109/6.2897</f>
        <v>57.30797971286389</v>
      </c>
      <c r="I109" s="4">
        <v>354.96</v>
      </c>
      <c r="J109" s="4">
        <f t="shared" ref="J109" si="387">I109/6.2897</f>
        <v>56.435124091769083</v>
      </c>
      <c r="K109" s="11">
        <v>365.11</v>
      </c>
      <c r="L109" s="4">
        <f t="shared" ref="L109" si="388">K109/6.2897</f>
        <v>58.048873555177515</v>
      </c>
      <c r="M109" s="4">
        <v>364.27</v>
      </c>
      <c r="N109" s="4">
        <f t="shared" ref="N109" si="389">M109/6.2897</f>
        <v>57.915321875447155</v>
      </c>
      <c r="O109" s="5">
        <f>(37.23*10+36.69*10+38.18*10)/30</f>
        <v>37.366666666666667</v>
      </c>
      <c r="P109" s="5">
        <f t="shared" ref="P109" si="390">O109/E109</f>
        <v>50.647312993904748</v>
      </c>
      <c r="Q109" s="15">
        <v>283.7</v>
      </c>
      <c r="R109" s="4">
        <f t="shared" ref="R109" si="391">Q109/6.2897</f>
        <v>45.105489927977487</v>
      </c>
    </row>
    <row r="110" spans="1:18">
      <c r="A110" s="3" t="s">
        <v>127</v>
      </c>
      <c r="B110" s="4">
        <v>52.081818181818178</v>
      </c>
      <c r="C110" s="4">
        <v>43.881019331129984</v>
      </c>
      <c r="D110" s="4">
        <v>40.765909090909084</v>
      </c>
      <c r="E110" s="13">
        <v>0.74063913043478269</v>
      </c>
      <c r="F110" s="4">
        <f t="shared" ref="F110" si="392">D110/E110</f>
        <v>55.041527534439048</v>
      </c>
      <c r="G110" s="4">
        <v>367.02</v>
      </c>
      <c r="H110" s="4">
        <f t="shared" ref="H110" si="393">G110/6.2897</f>
        <v>58.352544636469148</v>
      </c>
      <c r="I110" s="4">
        <v>348.44</v>
      </c>
      <c r="J110" s="4">
        <f t="shared" ref="J110" si="394">I110/6.2897</f>
        <v>55.398508672909678</v>
      </c>
      <c r="K110" s="11">
        <v>371.68</v>
      </c>
      <c r="L110" s="4">
        <f t="shared" ref="L110" si="395">K110/6.2897</f>
        <v>59.093438478782772</v>
      </c>
      <c r="M110" s="4">
        <v>357.75</v>
      </c>
      <c r="N110" s="4">
        <f t="shared" ref="N110" si="396">M110/6.2897</f>
        <v>56.878706456587757</v>
      </c>
      <c r="O110" s="5">
        <f>(39.47*10+39.6*10+40.17*11)/31</f>
        <v>39.760322580645166</v>
      </c>
      <c r="P110" s="5">
        <f t="shared" ref="P110" si="397">O110/E110</f>
        <v>53.683799500715523</v>
      </c>
      <c r="Q110" s="15">
        <v>277.18</v>
      </c>
      <c r="R110" s="4">
        <f t="shared" ref="R110" si="398">Q110/6.2897</f>
        <v>44.068874509118082</v>
      </c>
    </row>
    <row r="111" spans="1:18">
      <c r="A111" s="3" t="s">
        <v>128</v>
      </c>
      <c r="B111" s="4">
        <v>52.674761904761908</v>
      </c>
      <c r="C111" s="4">
        <v>45.773827148049925</v>
      </c>
      <c r="D111" s="4">
        <v>42.388095238095239</v>
      </c>
      <c r="E111" s="13">
        <v>0.75589047619047611</v>
      </c>
      <c r="F111" s="4">
        <f t="shared" ref="F111" si="399">D111/E111</f>
        <v>56.077033079874262</v>
      </c>
      <c r="G111" s="4">
        <v>360.67</v>
      </c>
      <c r="H111" s="4">
        <f t="shared" ref="H111" si="400">G111/6.2897</f>
        <v>57.342957533745654</v>
      </c>
      <c r="I111" s="4">
        <v>349.46</v>
      </c>
      <c r="J111" s="4">
        <f t="shared" ref="J111" si="401">I111/6.2897</f>
        <v>55.560678569725106</v>
      </c>
      <c r="K111" s="11">
        <v>365.33</v>
      </c>
      <c r="L111" s="4">
        <f t="shared" ref="L111" si="402">K111/6.2897</f>
        <v>58.083851376059272</v>
      </c>
      <c r="M111" s="4">
        <v>358.77</v>
      </c>
      <c r="N111" s="4">
        <f t="shared" ref="N111" si="403">M111/6.2897</f>
        <v>57.040876353403185</v>
      </c>
      <c r="O111" s="5">
        <f>(40.3*10+41.38*10+41.81*11)/31</f>
        <v>41.1841935483871</v>
      </c>
      <c r="P111" s="5">
        <f t="shared" ref="P111" si="404">O111/E111</f>
        <v>54.484339789471214</v>
      </c>
      <c r="Q111" s="15">
        <v>278.2</v>
      </c>
      <c r="R111" s="4">
        <f t="shared" ref="R111" si="405">Q111/6.2897</f>
        <v>44.23104440593351</v>
      </c>
    </row>
    <row r="112" spans="1:18">
      <c r="A112" s="3" t="s">
        <v>129</v>
      </c>
      <c r="B112" s="4">
        <v>49.964285714285715</v>
      </c>
      <c r="C112" s="4">
        <v>37.587514498109982</v>
      </c>
      <c r="D112" s="4">
        <v>39.625714285714288</v>
      </c>
      <c r="E112" s="13">
        <v>0.75636818181818188</v>
      </c>
      <c r="F112" s="4">
        <f t="shared" ref="F112" si="406">D112/E112</f>
        <v>52.389451643061896</v>
      </c>
      <c r="G112" s="4">
        <v>340.09</v>
      </c>
      <c r="H112" s="4">
        <f t="shared" ref="H112" si="407">G112/6.2897</f>
        <v>54.070941380352004</v>
      </c>
      <c r="I112" s="4">
        <v>329.63</v>
      </c>
      <c r="J112" s="4">
        <f t="shared" ref="J112" si="408">I112/6.2897</f>
        <v>52.407904987519281</v>
      </c>
      <c r="K112" s="11">
        <v>344.75</v>
      </c>
      <c r="L112" s="4">
        <f t="shared" ref="L112" si="409">K112/6.2897</f>
        <v>54.811835222665628</v>
      </c>
      <c r="M112" s="4">
        <v>337.94</v>
      </c>
      <c r="N112" s="4">
        <f t="shared" ref="N112" si="410">M112/6.2897</f>
        <v>53.729112676280266</v>
      </c>
      <c r="O112" s="5">
        <v>38.63133333333333</v>
      </c>
      <c r="P112" s="5">
        <f t="shared" ref="P112" si="411">O112/E112</f>
        <v>51.074773188462402</v>
      </c>
      <c r="Q112" s="15">
        <v>257.37</v>
      </c>
      <c r="R112" s="4">
        <f t="shared" ref="R112" si="412">Q112/6.2897</f>
        <v>40.919280728810598</v>
      </c>
    </row>
    <row r="113" spans="1:18">
      <c r="A113" s="3" t="s">
        <v>130</v>
      </c>
      <c r="B113" s="4">
        <v>47.780909090909091</v>
      </c>
      <c r="C113" s="4">
        <v>41.177918825924301</v>
      </c>
      <c r="D113" s="4">
        <v>39.554545454545455</v>
      </c>
      <c r="E113" s="13">
        <v>0.75695909090909097</v>
      </c>
      <c r="F113" s="4">
        <f t="shared" ref="F113" si="413">D113/E113</f>
        <v>52.254535191645999</v>
      </c>
      <c r="G113" s="4">
        <v>339.46</v>
      </c>
      <c r="H113" s="4">
        <f t="shared" ref="H113" si="414">G113/6.2897</f>
        <v>53.970777620554237</v>
      </c>
      <c r="I113" s="4">
        <v>327.92</v>
      </c>
      <c r="J113" s="4">
        <f t="shared" ref="J113" si="415">I113/6.2897</f>
        <v>52.136031925211064</v>
      </c>
      <c r="K113" s="11">
        <v>344.12</v>
      </c>
      <c r="L113" s="4">
        <f t="shared" ref="L113" si="416">K113/6.2897</f>
        <v>54.711671462867862</v>
      </c>
      <c r="M113" s="4">
        <v>337.23</v>
      </c>
      <c r="N113" s="4">
        <f t="shared" ref="N113" si="417">M113/6.2897</f>
        <v>53.616229708889144</v>
      </c>
      <c r="O113" s="5">
        <f>(38.21*10+39.72*10+37.5*11)/31</f>
        <v>38.445161290322581</v>
      </c>
      <c r="P113" s="5">
        <f t="shared" ref="P113" si="418">O113/E113</f>
        <v>50.788955112687532</v>
      </c>
      <c r="Q113" s="15">
        <v>256.66000000000003</v>
      </c>
      <c r="R113" s="4">
        <f t="shared" ref="R113" si="419">Q113/6.2897</f>
        <v>40.806397761419468</v>
      </c>
    </row>
    <row r="114" spans="1:18">
      <c r="A114" s="3" t="s">
        <v>131</v>
      </c>
      <c r="B114" s="4">
        <v>48.848947368421044</v>
      </c>
      <c r="C114" s="4">
        <v>41.265405203535408</v>
      </c>
      <c r="D114" s="4">
        <v>41.346500000000006</v>
      </c>
      <c r="E114" s="13">
        <v>0.7650476190476192</v>
      </c>
      <c r="F114" s="4">
        <f t="shared" ref="F114" si="420">D114/E114</f>
        <v>54.044348313208012</v>
      </c>
      <c r="G114" s="4">
        <v>349.37</v>
      </c>
      <c r="H114" s="4">
        <f t="shared" ref="H114" si="421">G114/6.2897</f>
        <v>55.546369461182572</v>
      </c>
      <c r="I114" s="4">
        <v>336.4</v>
      </c>
      <c r="J114" s="4">
        <f t="shared" ref="J114" si="422">I114/6.2897</f>
        <v>53.484267930107954</v>
      </c>
      <c r="K114" s="11">
        <v>354.03</v>
      </c>
      <c r="L114" s="4">
        <f t="shared" ref="L114" si="423">K114/6.2897</f>
        <v>56.287263303496189</v>
      </c>
      <c r="M114" s="4">
        <v>345.71</v>
      </c>
      <c r="N114" s="4">
        <f t="shared" ref="N114" si="424">M114/6.2897</f>
        <v>54.964465713786026</v>
      </c>
      <c r="O114" s="5">
        <f>(37.13*10+40.14*10+43.56*10)/30</f>
        <v>40.276666666666671</v>
      </c>
      <c r="P114" s="5">
        <f t="shared" ref="P114" si="425">O114/E114</f>
        <v>52.64596041329515</v>
      </c>
      <c r="Q114" s="15">
        <v>265.14</v>
      </c>
      <c r="R114" s="4">
        <f t="shared" ref="R114" si="426">Q114/6.2897</f>
        <v>42.154633766316358</v>
      </c>
    </row>
    <row r="115" spans="1:18">
      <c r="A115" s="3" t="s">
        <v>132</v>
      </c>
      <c r="B115" s="4">
        <v>54.909545454545452</v>
      </c>
      <c r="C115" s="4">
        <v>47.808844825665595</v>
      </c>
      <c r="D115" s="4">
        <v>47.06818181818182</v>
      </c>
      <c r="E115" s="13">
        <v>0.78060869565217383</v>
      </c>
      <c r="F115" s="4">
        <f t="shared" ref="F115" si="427">D115/E115</f>
        <v>60.296768509423082</v>
      </c>
      <c r="G115" s="4">
        <v>383.28</v>
      </c>
      <c r="H115" s="4">
        <f t="shared" ref="H115" si="428">G115/6.2897</f>
        <v>60.937723579820975</v>
      </c>
      <c r="I115" s="4">
        <v>373.47</v>
      </c>
      <c r="J115" s="4">
        <f t="shared" ref="J115" si="429">I115/6.2897</f>
        <v>59.37803074868436</v>
      </c>
      <c r="K115" s="11">
        <v>387.94</v>
      </c>
      <c r="L115" s="4">
        <f t="shared" ref="L115" si="430">K115/6.2897</f>
        <v>61.6786174221346</v>
      </c>
      <c r="M115" s="4">
        <v>382.78</v>
      </c>
      <c r="N115" s="4">
        <f t="shared" ref="N115" si="431">M115/6.2897</f>
        <v>60.858228532362432</v>
      </c>
      <c r="O115" s="5">
        <f>(44.79*10+46.78*10+47.03*11)/31</f>
        <v>46.226774193548394</v>
      </c>
      <c r="P115" s="5">
        <f t="shared" ref="P115" si="432">O115/E115</f>
        <v>59.218881945617312</v>
      </c>
      <c r="Q115" s="15">
        <v>302.20999999999998</v>
      </c>
      <c r="R115" s="4">
        <f t="shared" ref="R115" si="433">Q115/6.2897</f>
        <v>48.048396584892757</v>
      </c>
    </row>
    <row r="116" spans="1:18">
      <c r="A116" s="3" t="s">
        <v>133</v>
      </c>
      <c r="B116" s="4">
        <v>62.48105263157894</v>
      </c>
      <c r="C116" s="4">
        <v>50.936846887778287</v>
      </c>
      <c r="D116" s="4">
        <v>52.102105263157895</v>
      </c>
      <c r="E116" s="13">
        <v>0.78607142857142853</v>
      </c>
      <c r="F116" s="4">
        <f t="shared" ref="F116" si="434">D116/E116</f>
        <v>66.28164231569383</v>
      </c>
      <c r="G116" s="4">
        <v>411.34</v>
      </c>
      <c r="H116" s="4">
        <f t="shared" ref="H116" si="435">G116/6.2897</f>
        <v>65.398985643194422</v>
      </c>
      <c r="I116" s="4">
        <v>397.83</v>
      </c>
      <c r="J116" s="4">
        <f t="shared" ref="J116" si="436">I116/6.2897</f>
        <v>63.251029460864586</v>
      </c>
      <c r="K116" s="11">
        <v>416</v>
      </c>
      <c r="L116" s="4">
        <f t="shared" ref="L116" si="437">K116/6.2897</f>
        <v>66.139879485508061</v>
      </c>
      <c r="M116" s="4">
        <v>407.14</v>
      </c>
      <c r="N116" s="4">
        <f t="shared" ref="N116" si="438">M116/6.2897</f>
        <v>64.731227244542666</v>
      </c>
      <c r="O116" s="5">
        <f>(49.13*10+51.76*10+51.46*11)/31</f>
        <v>50.80516129032258</v>
      </c>
      <c r="P116" s="5">
        <f t="shared" ref="P116" si="439">O116/E116</f>
        <v>64.631736307543491</v>
      </c>
      <c r="Q116" s="15">
        <v>326.57</v>
      </c>
      <c r="R116" s="4">
        <f t="shared" ref="R116" si="440">Q116/6.2897</f>
        <v>51.921395297072991</v>
      </c>
    </row>
    <row r="117" spans="1:18">
      <c r="A117" s="3" t="s">
        <v>134</v>
      </c>
      <c r="B117" s="4">
        <v>73.694736842105272</v>
      </c>
      <c r="C117" s="4">
        <v>57.296295355864196</v>
      </c>
      <c r="D117" s="4">
        <v>59.061052631578939</v>
      </c>
      <c r="E117" s="13">
        <v>0.78766000000000014</v>
      </c>
      <c r="F117" s="4">
        <f t="shared" ref="F117" si="441">D117/E117</f>
        <v>74.982927445317685</v>
      </c>
      <c r="G117" s="4">
        <v>466.98</v>
      </c>
      <c r="H117" s="4">
        <f t="shared" ref="H117" si="442">G117/6.2897</f>
        <v>74.245194524381134</v>
      </c>
      <c r="I117" s="4">
        <v>454.22</v>
      </c>
      <c r="J117" s="4">
        <f t="shared" ref="J117" si="443">I117/6.2897</f>
        <v>72.21648091323911</v>
      </c>
      <c r="K117" s="11">
        <v>471.64</v>
      </c>
      <c r="L117" s="4">
        <f t="shared" ref="L117" si="444">K117/6.2897</f>
        <v>74.986088366694759</v>
      </c>
      <c r="M117" s="4">
        <v>463.53</v>
      </c>
      <c r="N117" s="4">
        <f t="shared" ref="N117" si="445">M117/6.2897</f>
        <v>73.696678696917175</v>
      </c>
      <c r="O117" s="5">
        <f>(55.58*10+58.63*10+60.71*8)/28</f>
        <v>58.134999999999998</v>
      </c>
      <c r="P117" s="5">
        <f t="shared" ref="P117" si="446">O117/E117</f>
        <v>73.8072264682731</v>
      </c>
      <c r="Q117" s="15">
        <v>382.96</v>
      </c>
      <c r="R117" s="4">
        <f t="shared" ref="R117" si="447">Q117/6.2897</f>
        <v>60.886846749447507</v>
      </c>
    </row>
    <row r="118" spans="1:18">
      <c r="A118" s="3" t="s">
        <v>135</v>
      </c>
      <c r="B118" s="4">
        <v>81.290869565217378</v>
      </c>
      <c r="C118" s="4">
        <v>64.043248679909482</v>
      </c>
      <c r="D118" s="4">
        <v>62.357391304347829</v>
      </c>
      <c r="E118" s="13">
        <v>0.7954</v>
      </c>
      <c r="F118" s="4">
        <f t="shared" ref="F118" si="448">D118/E118</f>
        <v>78.397524898601745</v>
      </c>
      <c r="G118" s="4">
        <v>499.67</v>
      </c>
      <c r="H118" s="4">
        <f t="shared" ref="H118" si="449">G118/6.2897</f>
        <v>79.442580727220701</v>
      </c>
      <c r="I118" s="4">
        <v>488.53</v>
      </c>
      <c r="J118" s="4">
        <f t="shared" ref="J118" si="450">I118/6.2897</f>
        <v>77.671431069844346</v>
      </c>
      <c r="K118" s="11">
        <v>504.33</v>
      </c>
      <c r="L118" s="4">
        <f t="shared" ref="L118" si="451">K118/6.2897</f>
        <v>80.183474569534312</v>
      </c>
      <c r="M118" s="4">
        <v>497.84</v>
      </c>
      <c r="N118" s="4">
        <f t="shared" ref="N118" si="452">M118/6.2897</f>
        <v>79.151628853522425</v>
      </c>
      <c r="O118" s="5">
        <f>(62.73*10+63.05*10+59.42*11)/31</f>
        <v>61.65870967741936</v>
      </c>
      <c r="P118" s="5">
        <f t="shared" ref="P118" si="453">O118/E118</f>
        <v>77.519122048553385</v>
      </c>
      <c r="Q118" s="15">
        <v>417.27</v>
      </c>
      <c r="R118" s="4">
        <f t="shared" ref="R118" si="454">Q118/6.2897</f>
        <v>66.34179690605275</v>
      </c>
    </row>
    <row r="119" spans="1:18">
      <c r="A119" s="3" t="s">
        <v>136</v>
      </c>
      <c r="B119" s="4">
        <v>76.657142857142873</v>
      </c>
      <c r="C119" s="4">
        <v>63.107022176789606</v>
      </c>
      <c r="D119" s="4">
        <v>61.69227272727273</v>
      </c>
      <c r="E119" s="13">
        <v>0.80038636363636373</v>
      </c>
      <c r="F119" s="4">
        <f t="shared" ref="F119" si="455">D119/E119</f>
        <v>77.078115682766835</v>
      </c>
      <c r="G119" s="4">
        <v>506.48</v>
      </c>
      <c r="H119" s="4">
        <f t="shared" ref="H119" si="456">G119/6.2897</f>
        <v>80.525303273606056</v>
      </c>
      <c r="I119" s="4">
        <v>490.61</v>
      </c>
      <c r="J119" s="4">
        <f t="shared" ref="J119" si="457">I119/6.2897</f>
        <v>78.002130467271897</v>
      </c>
      <c r="K119" s="11">
        <v>511.14</v>
      </c>
      <c r="L119" s="4">
        <f t="shared" ref="L119" si="458">K119/6.2897</f>
        <v>81.266197115919681</v>
      </c>
      <c r="M119" s="4">
        <v>499.92</v>
      </c>
      <c r="N119" s="4">
        <f t="shared" ref="N119" si="459">M119/6.2897</f>
        <v>79.482328250949976</v>
      </c>
      <c r="O119" s="5">
        <f>(59.18*10+61.1*10+61.65*10)/30</f>
        <v>60.643333333333331</v>
      </c>
      <c r="P119" s="5">
        <f t="shared" ref="P119" si="460">O119/E119</f>
        <v>75.767574372225525</v>
      </c>
      <c r="Q119" s="15">
        <v>419.35</v>
      </c>
      <c r="R119" s="4">
        <f t="shared" ref="R119" si="461">Q119/6.2897</f>
        <v>66.672496303480301</v>
      </c>
    </row>
    <row r="120" spans="1:18">
      <c r="A120" s="3" t="s">
        <v>137</v>
      </c>
      <c r="B120" s="4">
        <v>77.794000000000011</v>
      </c>
      <c r="C120" s="4">
        <v>66.403449529845716</v>
      </c>
      <c r="D120" s="4">
        <v>65.156999999999996</v>
      </c>
      <c r="E120" s="13">
        <v>0.82495714285714272</v>
      </c>
      <c r="F120" s="4">
        <f t="shared" ref="F120" si="462">D120/E120</f>
        <v>78.982284794015285</v>
      </c>
      <c r="G120" s="4">
        <v>512.09</v>
      </c>
      <c r="H120" s="4">
        <f t="shared" ref="H120" si="463">G120/6.2897</f>
        <v>81.417237706090916</v>
      </c>
      <c r="I120" s="4">
        <v>494.6</v>
      </c>
      <c r="J120" s="4">
        <f t="shared" ref="J120" si="464">I120/6.2897</f>
        <v>78.636500945991074</v>
      </c>
      <c r="K120" s="11">
        <v>516.75</v>
      </c>
      <c r="L120" s="4">
        <f t="shared" ref="L120" si="465">K120/6.2897</f>
        <v>82.15813154840454</v>
      </c>
      <c r="M120" s="4">
        <v>503.91</v>
      </c>
      <c r="N120" s="4">
        <f t="shared" ref="N120" si="466">M120/6.2897</f>
        <v>80.116698729669153</v>
      </c>
      <c r="O120" s="5">
        <f>(63.73*10+63.85*10+64.56*11)/31</f>
        <v>64.063225806451612</v>
      </c>
      <c r="P120" s="5">
        <f t="shared" ref="P120" si="467">O120/E120</f>
        <v>77.656429017119734</v>
      </c>
      <c r="Q120" s="15">
        <v>423.34</v>
      </c>
      <c r="R120" s="4">
        <f t="shared" ref="R120" si="468">Q120/6.2897</f>
        <v>67.306866782199464</v>
      </c>
    </row>
    <row r="121" spans="1:18">
      <c r="A121" s="3" t="s">
        <v>138</v>
      </c>
      <c r="B121" s="4">
        <v>84.872272727272744</v>
      </c>
      <c r="C121" s="4">
        <v>71.476524986661929</v>
      </c>
      <c r="D121" s="4">
        <v>71.246666666666655</v>
      </c>
      <c r="E121" s="13">
        <v>0.81789090909090911</v>
      </c>
      <c r="F121" s="4">
        <f t="shared" ref="F121" si="469">D121/E121</f>
        <v>87.110231786116529</v>
      </c>
      <c r="G121" s="4">
        <v>557.79999999999995</v>
      </c>
      <c r="H121" s="4">
        <f t="shared" ref="H121" si="470">G121/6.2897</f>
        <v>88.684674944750938</v>
      </c>
      <c r="I121" s="4">
        <v>544.17999999999995</v>
      </c>
      <c r="J121" s="4">
        <f t="shared" ref="J121" si="471">I121/6.2897</f>
        <v>86.519229851980214</v>
      </c>
      <c r="K121" s="11">
        <v>562.46</v>
      </c>
      <c r="L121" s="4">
        <f t="shared" ref="L121" si="472">K121/6.2897</f>
        <v>89.425568787064577</v>
      </c>
      <c r="M121" s="4">
        <v>553.49</v>
      </c>
      <c r="N121" s="4">
        <f t="shared" ref="N121" si="473">M121/6.2897</f>
        <v>87.999427635658307</v>
      </c>
      <c r="O121" s="5">
        <f>(68.38*10+70.38*10+72.46*10)/30</f>
        <v>70.406666666666666</v>
      </c>
      <c r="P121" s="5">
        <f t="shared" ref="P121" si="474">O121/E121</f>
        <v>86.083199952575725</v>
      </c>
      <c r="Q121" s="15">
        <v>472.92</v>
      </c>
      <c r="R121" s="4">
        <f t="shared" ref="R121" si="475">Q121/6.2897</f>
        <v>75.189595688188632</v>
      </c>
    </row>
    <row r="122" spans="1:18">
      <c r="A122" s="3" t="s">
        <v>139</v>
      </c>
      <c r="B122" s="4">
        <v>89.013333333333335</v>
      </c>
      <c r="C122" s="4">
        <v>73.177281882631405</v>
      </c>
      <c r="D122" s="4">
        <v>72.430476190476199</v>
      </c>
      <c r="E122" s="13">
        <v>0.79888181818181825</v>
      </c>
      <c r="F122" s="4">
        <f t="shared" ref="F122" si="476">D122/E122</f>
        <v>90.664819929587736</v>
      </c>
      <c r="G122" s="4">
        <v>559.42999999999995</v>
      </c>
      <c r="H122" s="4">
        <f t="shared" ref="H122" si="477">G122/6.2897</f>
        <v>88.943828799465791</v>
      </c>
      <c r="I122" s="4">
        <v>573.82000000000005</v>
      </c>
      <c r="J122" s="4">
        <f t="shared" ref="J122" si="478">I122/6.2897</f>
        <v>91.231696265322682</v>
      </c>
      <c r="K122" s="11">
        <v>564.01</v>
      </c>
      <c r="L122" s="4">
        <f t="shared" ref="L122" si="479">K122/6.2897</f>
        <v>89.672003434186053</v>
      </c>
      <c r="M122" s="4">
        <v>583.13</v>
      </c>
      <c r="N122" s="4">
        <f t="shared" ref="N122" si="480">M122/6.2897</f>
        <v>92.711894049000747</v>
      </c>
      <c r="O122" s="5">
        <f>(73.35*10+70.8*10+71.35*11)/31</f>
        <v>71.817741935483866</v>
      </c>
      <c r="P122" s="5">
        <f t="shared" ref="P122" si="481">O122/E122</f>
        <v>89.89783006820015</v>
      </c>
      <c r="Q122" s="15">
        <v>502.56</v>
      </c>
      <c r="R122" s="4">
        <f t="shared" ref="R122" si="482">Q122/6.2897</f>
        <v>79.902062101531072</v>
      </c>
    </row>
    <row r="123" spans="1:18">
      <c r="A123" s="3" t="s">
        <v>140</v>
      </c>
      <c r="B123" s="4">
        <v>83.423636363636376</v>
      </c>
      <c r="C123" s="4">
        <v>68.614977640612224</v>
      </c>
      <c r="D123" s="4">
        <v>67.711363636363643</v>
      </c>
      <c r="E123" s="13">
        <v>0.79384999999999983</v>
      </c>
      <c r="F123" s="4">
        <f t="shared" ref="F123" si="483">D123/E123</f>
        <v>85.294909159619138</v>
      </c>
      <c r="G123" s="4">
        <v>549.38</v>
      </c>
      <c r="H123" s="4">
        <f t="shared" ref="H123" si="484">G123/6.2897</f>
        <v>87.345978345549071</v>
      </c>
      <c r="I123" s="4">
        <v>534.66</v>
      </c>
      <c r="J123" s="4">
        <f t="shared" ref="J123" si="485">I123/6.2897</f>
        <v>85.005644148369555</v>
      </c>
      <c r="K123" s="11">
        <v>554.04</v>
      </c>
      <c r="L123" s="4">
        <f t="shared" ref="L123" si="486">K123/6.2897</f>
        <v>88.086872187862696</v>
      </c>
      <c r="M123" s="4">
        <v>543.97</v>
      </c>
      <c r="N123" s="4">
        <f t="shared" ref="N123" si="487">M123/6.2897</f>
        <v>86.485841932047634</v>
      </c>
      <c r="O123" s="5">
        <f>(68.26*10+65.9*10+66.05*11)/31</f>
        <v>66.714516129032248</v>
      </c>
      <c r="P123" s="5">
        <f t="shared" ref="P123" si="488">O123/E123</f>
        <v>84.039196484263101</v>
      </c>
      <c r="Q123" s="15">
        <v>463.4</v>
      </c>
      <c r="R123" s="4">
        <f t="shared" ref="R123" si="489">Q123/6.2897</f>
        <v>73.676009984577959</v>
      </c>
    </row>
    <row r="124" spans="1:18">
      <c r="A124" s="3" t="s">
        <v>141</v>
      </c>
      <c r="B124" s="4">
        <v>88.761904761904759</v>
      </c>
      <c r="C124" s="4">
        <v>73.528496872083807</v>
      </c>
      <c r="D124" s="4">
        <v>71.544761904761913</v>
      </c>
      <c r="E124" s="13">
        <v>0.789081818181818</v>
      </c>
      <c r="F124" s="4">
        <f t="shared" ref="F124" si="490">D124/E124</f>
        <v>90.668369560983564</v>
      </c>
      <c r="G124" s="4">
        <v>579.33000000000004</v>
      </c>
      <c r="H124" s="4">
        <f t="shared" ref="H124" si="491">G124/6.2897</f>
        <v>92.107731688315823</v>
      </c>
      <c r="I124" s="4">
        <v>562.70000000000005</v>
      </c>
      <c r="J124" s="4">
        <f t="shared" ref="J124" si="492">I124/6.2897</f>
        <v>89.463726409844682</v>
      </c>
      <c r="K124" s="11">
        <v>583.99</v>
      </c>
      <c r="L124" s="4">
        <f t="shared" ref="L124" si="493">K124/6.2897</f>
        <v>92.848625530629448</v>
      </c>
      <c r="M124" s="4">
        <v>572.01</v>
      </c>
      <c r="N124" s="4">
        <f t="shared" ref="N124" si="494">M124/6.2897</f>
        <v>90.943924193522747</v>
      </c>
      <c r="O124" s="5">
        <f>(68.13*10+70.18*10+72.86*10)/30</f>
        <v>70.39</v>
      </c>
      <c r="P124" s="5">
        <f t="shared" ref="P124" si="495">O124/E124</f>
        <v>89.204944757428109</v>
      </c>
      <c r="Q124" s="15">
        <v>491.44</v>
      </c>
      <c r="R124" s="4">
        <f t="shared" ref="R124" si="496">Q124/6.2897</f>
        <v>78.134092246053072</v>
      </c>
    </row>
    <row r="125" spans="1:18">
      <c r="A125" s="3" t="s">
        <v>142</v>
      </c>
      <c r="B125" s="4">
        <v>99.387142857142834</v>
      </c>
      <c r="C125" s="4">
        <v>86.199135224782339</v>
      </c>
      <c r="D125" s="4">
        <v>81.222857142857137</v>
      </c>
      <c r="E125" s="13">
        <v>0.80395238095238086</v>
      </c>
      <c r="F125" s="4">
        <f t="shared" ref="F125" si="497">D125/E125</f>
        <v>101.02943789610852</v>
      </c>
      <c r="G125" s="4">
        <v>655.74</v>
      </c>
      <c r="H125" s="4">
        <f t="shared" ref="H125" si="498">G125/6.2897</f>
        <v>104.25616484093041</v>
      </c>
      <c r="I125" s="4">
        <v>638.37</v>
      </c>
      <c r="J125" s="4">
        <f t="shared" ref="J125" si="499">I125/6.2897</f>
        <v>101.49450689222061</v>
      </c>
      <c r="K125" s="11">
        <v>660.4</v>
      </c>
      <c r="L125" s="4">
        <f t="shared" ref="L125" si="500">K125/6.2897</f>
        <v>104.99705868324403</v>
      </c>
      <c r="M125" s="4">
        <v>647.67999999999995</v>
      </c>
      <c r="N125" s="4">
        <f t="shared" ref="N125" si="501">M125/6.2897</f>
        <v>102.97470467589869</v>
      </c>
      <c r="O125" s="5">
        <f>(76.8*10+80.9*10+82.49*11)/31</f>
        <v>80.141612903225806</v>
      </c>
      <c r="P125" s="5">
        <f t="shared" ref="P125" si="502">O125/E125</f>
        <v>99.684527096353847</v>
      </c>
      <c r="Q125" s="15">
        <v>567.11</v>
      </c>
      <c r="R125" s="4">
        <f t="shared" ref="R125" si="503">Q125/6.2897</f>
        <v>90.164872728429017</v>
      </c>
    </row>
    <row r="126" spans="1:18">
      <c r="A126" s="3" t="s">
        <v>143</v>
      </c>
      <c r="B126" s="4">
        <v>95.569500000000005</v>
      </c>
      <c r="C126" s="4">
        <v>82.002799120276478</v>
      </c>
      <c r="D126" s="4">
        <v>78.653809523809542</v>
      </c>
      <c r="E126" s="13">
        <v>0.7957045454545455</v>
      </c>
      <c r="F126" s="4">
        <f t="shared" ref="F126" si="504">D126/E126</f>
        <v>98.848008313033603</v>
      </c>
      <c r="G126" s="4">
        <v>653.37</v>
      </c>
      <c r="H126" s="4">
        <f t="shared" ref="H126" si="505">G126/6.2897</f>
        <v>103.87935831597692</v>
      </c>
      <c r="I126" s="4">
        <v>635.41999999999996</v>
      </c>
      <c r="J126" s="4">
        <f t="shared" ref="J126" si="506">I126/6.2897</f>
        <v>101.02548611221521</v>
      </c>
      <c r="K126" s="11">
        <v>658.03</v>
      </c>
      <c r="L126" s="4">
        <f t="shared" ref="L126" si="507">K126/6.2897</f>
        <v>104.62025215829054</v>
      </c>
      <c r="M126" s="4">
        <v>644.73</v>
      </c>
      <c r="N126" s="4">
        <f t="shared" ref="N126" si="508">M126/6.2897</f>
        <v>102.50568389589328</v>
      </c>
      <c r="O126" s="5">
        <f>(80.89*10+78.52*10+71.87*10)/30</f>
        <v>77.093333333333334</v>
      </c>
      <c r="P126" s="5">
        <f t="shared" ref="P126" si="509">O126/E126</f>
        <v>96.886883170051306</v>
      </c>
      <c r="Q126" s="15">
        <v>564.16</v>
      </c>
      <c r="R126" s="4">
        <f t="shared" ref="R126" si="510">Q126/6.2897</f>
        <v>89.695851948423609</v>
      </c>
    </row>
    <row r="127" spans="1:18">
      <c r="A127" s="3" t="s">
        <v>144</v>
      </c>
      <c r="B127" s="4">
        <v>86.146190476190498</v>
      </c>
      <c r="C127" s="4">
        <v>67.925094966101412</v>
      </c>
      <c r="D127" s="4">
        <v>71.69</v>
      </c>
      <c r="E127" s="13">
        <v>0.78174347826086954</v>
      </c>
      <c r="F127" s="4">
        <f t="shared" ref="F127" si="511">D127/E127</f>
        <v>91.705274164214885</v>
      </c>
      <c r="G127" s="4">
        <v>593.79999999999995</v>
      </c>
      <c r="H127" s="4">
        <f t="shared" ref="H127" si="512">G127/6.2897</f>
        <v>94.408318361766064</v>
      </c>
      <c r="I127" s="4">
        <v>571.1</v>
      </c>
      <c r="J127" s="4">
        <f t="shared" ref="J127" si="513">I127/6.2897</f>
        <v>90.799243207148194</v>
      </c>
      <c r="K127" s="11">
        <v>598.46</v>
      </c>
      <c r="L127" s="4">
        <f t="shared" ref="L127" si="514">K127/6.2897</f>
        <v>95.149212204079689</v>
      </c>
      <c r="M127" s="4">
        <v>580.41</v>
      </c>
      <c r="N127" s="4">
        <f t="shared" ref="N127" si="515">M127/6.2897</f>
        <v>92.279440990826274</v>
      </c>
      <c r="O127" s="5">
        <f>(67.74*10+69.94*10+73.49*11)/31</f>
        <v>70.489999999999995</v>
      </c>
      <c r="P127" s="5">
        <f t="shared" ref="P127" si="516">O127/E127</f>
        <v>90.170243769500729</v>
      </c>
      <c r="Q127" s="15">
        <v>499.84</v>
      </c>
      <c r="R127" s="4">
        <f t="shared" ref="R127" si="517">Q127/6.2897</f>
        <v>79.469609043356598</v>
      </c>
    </row>
    <row r="128" spans="1:18">
      <c r="A128" s="3" t="s">
        <v>145</v>
      </c>
      <c r="B128" s="4">
        <v>104.34100000000001</v>
      </c>
      <c r="C128" s="4">
        <v>82.837746014756377</v>
      </c>
      <c r="D128" s="4">
        <v>82.978999999999999</v>
      </c>
      <c r="E128" s="13">
        <v>0.79190952380952373</v>
      </c>
      <c r="F128" s="4">
        <f t="shared" ref="F128" si="518">D128/E128</f>
        <v>104.78343485607424</v>
      </c>
      <c r="G128" s="4">
        <v>667.97</v>
      </c>
      <c r="H128" s="4">
        <f t="shared" ref="H128" si="519">G128/6.2897</f>
        <v>106.20061370176639</v>
      </c>
      <c r="I128" s="4">
        <v>639.39</v>
      </c>
      <c r="J128" s="4">
        <f t="shared" ref="J128" si="520">I128/6.2897</f>
        <v>101.65667678903604</v>
      </c>
      <c r="K128" s="11">
        <v>672.63</v>
      </c>
      <c r="L128" s="4">
        <f t="shared" ref="L128" si="521">K128/6.2897</f>
        <v>106.94150754408001</v>
      </c>
      <c r="M128" s="4">
        <v>648.70000000000005</v>
      </c>
      <c r="N128" s="4">
        <f t="shared" ref="N128" si="522">M128/6.2897</f>
        <v>103.13687457271413</v>
      </c>
      <c r="O128" s="5">
        <f>(76.57*10+83.06*10+85.08*11)/31</f>
        <v>81.683225806451603</v>
      </c>
      <c r="P128" s="5">
        <f t="shared" ref="P128" si="523">O128/E128</f>
        <v>103.14716940580537</v>
      </c>
      <c r="Q128" s="15">
        <v>568.13</v>
      </c>
      <c r="R128" s="4">
        <f t="shared" ref="R128" si="524">Q128/6.2897</f>
        <v>90.327042625244445</v>
      </c>
    </row>
    <row r="129" spans="1:18">
      <c r="A129" s="3" t="s">
        <v>146</v>
      </c>
      <c r="B129" s="4">
        <v>118.03368421052633</v>
      </c>
      <c r="C129" s="4">
        <v>100.59901563036539</v>
      </c>
      <c r="D129" s="4">
        <v>91.628947368421038</v>
      </c>
      <c r="E129" s="13">
        <v>0.78628999999999993</v>
      </c>
      <c r="F129" s="4">
        <f t="shared" ref="F129:F130" si="525">D129/E129</f>
        <v>116.53327317964244</v>
      </c>
      <c r="G129" s="4">
        <v>761.57</v>
      </c>
      <c r="H129" s="4">
        <f t="shared" ref="H129:H130" si="526">G129/6.2897</f>
        <v>121.0820865860057</v>
      </c>
      <c r="I129" s="4">
        <v>739.65</v>
      </c>
      <c r="J129" s="4">
        <f t="shared" ref="J129:J130" si="527">I129/6.2897</f>
        <v>117.59702370542315</v>
      </c>
      <c r="K129" s="11">
        <v>766.23</v>
      </c>
      <c r="L129" s="4">
        <f t="shared" ref="L129:L130" si="528">K129/6.2897</f>
        <v>121.82298042831933</v>
      </c>
      <c r="M129" s="4">
        <v>748.96</v>
      </c>
      <c r="N129" s="4">
        <f t="shared" ref="N129:N130" si="529">M129/6.2897</f>
        <v>119.07722148910123</v>
      </c>
      <c r="O129" s="5">
        <f>(89.39*10+91.55*10+91.35*8)/28</f>
        <v>90.721428571428561</v>
      </c>
      <c r="P129" s="5">
        <f t="shared" ref="P129:P130" si="530">O129/E129</f>
        <v>115.37909495406093</v>
      </c>
      <c r="Q129" s="15">
        <v>668.39</v>
      </c>
      <c r="R129" s="4">
        <f t="shared" ref="R129:R130" si="531">Q129/6.2897</f>
        <v>106.26738954163156</v>
      </c>
    </row>
    <row r="130" spans="1:18">
      <c r="A130" s="3" t="s">
        <v>147</v>
      </c>
      <c r="B130" s="4">
        <v>144.22086956521741</v>
      </c>
      <c r="C130" s="4">
        <v>119.65946912391694</v>
      </c>
      <c r="D130" s="4">
        <v>108.26217391304348</v>
      </c>
      <c r="E130" s="13">
        <v>0.79032608695652162</v>
      </c>
      <c r="F130" s="4">
        <f t="shared" si="525"/>
        <v>136.98418374363914</v>
      </c>
      <c r="G130" s="4">
        <v>896.66</v>
      </c>
      <c r="H130" s="4">
        <f t="shared" si="526"/>
        <v>142.56005850835493</v>
      </c>
      <c r="I130" s="4">
        <v>873.15</v>
      </c>
      <c r="J130" s="4">
        <f t="shared" si="527"/>
        <v>138.82220137685422</v>
      </c>
      <c r="K130" s="11">
        <v>901.32</v>
      </c>
      <c r="L130" s="4">
        <f t="shared" si="528"/>
        <v>143.30095235066855</v>
      </c>
      <c r="M130" s="4">
        <v>882.46</v>
      </c>
      <c r="N130" s="4">
        <f t="shared" si="529"/>
        <v>140.3023991605323</v>
      </c>
      <c r="O130" s="5">
        <f>(111.65*10+102.96*10+109.2*11)/31</f>
        <v>107.97741935483872</v>
      </c>
      <c r="P130" s="5">
        <f t="shared" si="530"/>
        <v>136.62388365623934</v>
      </c>
      <c r="Q130" s="15">
        <v>801.89</v>
      </c>
      <c r="R130" s="4">
        <f t="shared" si="531"/>
        <v>127.49256721306263</v>
      </c>
    </row>
    <row r="131" spans="1:18">
      <c r="A131" s="3" t="s">
        <v>148</v>
      </c>
      <c r="B131" s="4">
        <v>135.7235</v>
      </c>
      <c r="C131" s="4">
        <v>112.51376146788992</v>
      </c>
      <c r="D131" s="4">
        <v>101.64049999999999</v>
      </c>
      <c r="E131" s="13">
        <v>0.79154761904761894</v>
      </c>
      <c r="F131" s="4">
        <f t="shared" ref="F131" si="532">D131/E131</f>
        <v>128.40730936983005</v>
      </c>
      <c r="G131" s="4">
        <v>860.23</v>
      </c>
      <c r="H131" s="4">
        <f t="shared" ref="H131" si="533">G131/6.2897</f>
        <v>136.76804935052547</v>
      </c>
      <c r="I131" s="4">
        <v>827.79</v>
      </c>
      <c r="J131" s="4">
        <f t="shared" ref="J131" si="534">I131/6.2897</f>
        <v>131.61041067141517</v>
      </c>
      <c r="K131" s="11">
        <v>864.89</v>
      </c>
      <c r="L131" s="4">
        <f t="shared" ref="L131" si="535">K131/6.2897</f>
        <v>137.5089431928391</v>
      </c>
      <c r="M131" s="4">
        <v>837.1</v>
      </c>
      <c r="N131" s="4">
        <f t="shared" ref="N131" si="536">M131/6.2897</f>
        <v>133.09060845509325</v>
      </c>
      <c r="O131" s="5">
        <f>(98.01*10+103.05*10+101.7*10)/30</f>
        <v>100.92</v>
      </c>
      <c r="P131" s="5">
        <f t="shared" ref="P131" si="537">O131/E131</f>
        <v>127.49706722815463</v>
      </c>
      <c r="Q131" s="15">
        <v>756.53</v>
      </c>
      <c r="R131" s="4">
        <f t="shared" ref="R131" si="538">Q131/6.2897</f>
        <v>120.28077650762357</v>
      </c>
    </row>
    <row r="132" spans="1:18">
      <c r="A132" s="3" t="s">
        <v>149</v>
      </c>
      <c r="B132" s="4">
        <v>148.64523809523811</v>
      </c>
      <c r="C132" s="4">
        <v>124.08332944088937</v>
      </c>
      <c r="D132" s="4">
        <v>109.25952380952383</v>
      </c>
      <c r="E132" s="13">
        <v>0.77850909090909071</v>
      </c>
      <c r="F132" s="4">
        <f t="shared" ref="F132" si="539">D132/E132</f>
        <v>140.34457026306254</v>
      </c>
      <c r="G132" s="4">
        <v>924.98</v>
      </c>
      <c r="H132" s="4">
        <f t="shared" ref="H132" si="540">G132/6.2897</f>
        <v>147.06265799640684</v>
      </c>
      <c r="I132" s="4">
        <v>902.73</v>
      </c>
      <c r="J132" s="4">
        <f t="shared" ref="J132" si="541">I132/6.2897</f>
        <v>143.52512838450164</v>
      </c>
      <c r="K132" s="11">
        <v>929.64</v>
      </c>
      <c r="L132" s="4">
        <f t="shared" ref="L132" si="542">K132/6.2897</f>
        <v>147.80355183872044</v>
      </c>
      <c r="M132" s="4">
        <v>912.04</v>
      </c>
      <c r="N132" s="4">
        <f t="shared" ref="N132" si="543">M132/6.2897</f>
        <v>145.00532616817972</v>
      </c>
      <c r="O132" s="5">
        <f>(105.05*10+109.49*10+112.26*11)/31</f>
        <v>109.04064516129031</v>
      </c>
      <c r="P132" s="5">
        <f t="shared" ref="P132" si="544">O132/E132</f>
        <v>140.06341921320399</v>
      </c>
      <c r="Q132" s="15">
        <v>831.47</v>
      </c>
      <c r="R132" s="4">
        <f t="shared" ref="R132" si="545">Q132/6.2897</f>
        <v>132.19549422071006</v>
      </c>
    </row>
    <row r="133" spans="1:18">
      <c r="A133" s="3" t="s">
        <v>151</v>
      </c>
      <c r="B133" s="4">
        <v>155.62999999999997</v>
      </c>
      <c r="C133" s="16">
        <v>129.63713669986601</v>
      </c>
      <c r="D133" s="4">
        <v>114.33904761904766</v>
      </c>
      <c r="E133" s="13">
        <v>0.78040909090909105</v>
      </c>
      <c r="F133" s="4">
        <f t="shared" ref="F133" si="546">D133/E133</f>
        <v>146.51168079789434</v>
      </c>
      <c r="G133" s="4">
        <v>960.45</v>
      </c>
      <c r="H133" s="4">
        <f t="shared" ref="H133" si="547">G133/6.2897</f>
        <v>152.7020366631159</v>
      </c>
      <c r="I133" s="4">
        <v>940.46</v>
      </c>
      <c r="J133" s="4">
        <f t="shared" ref="J133" si="548">I133/6.2897</f>
        <v>149.52382466572334</v>
      </c>
      <c r="K133" s="11">
        <v>965.11</v>
      </c>
      <c r="L133" s="4">
        <f t="shared" ref="L133" si="549">K133/6.2897</f>
        <v>153.44293050542953</v>
      </c>
      <c r="M133" s="4">
        <v>949.77</v>
      </c>
      <c r="N133" s="4">
        <f t="shared" ref="N133" si="550">M133/6.2897</f>
        <v>151.00402244940139</v>
      </c>
      <c r="O133" s="5">
        <f>(118.09*10+114.23*10+107.08*10)/30</f>
        <v>113.13333333333334</v>
      </c>
      <c r="P133" s="5">
        <f t="shared" ref="P133" si="551">O133/E133</f>
        <v>144.96670355485659</v>
      </c>
      <c r="Q133" s="15">
        <v>869.2</v>
      </c>
      <c r="R133" s="4">
        <f t="shared" ref="R133" si="552">Q133/6.2897</f>
        <v>138.19419050193173</v>
      </c>
    </row>
    <row r="134" spans="1:18">
      <c r="A134" s="3" t="s">
        <v>150</v>
      </c>
      <c r="B134" s="4">
        <v>142.82650000000001</v>
      </c>
      <c r="C134" s="4">
        <v>104.01019635369526</v>
      </c>
      <c r="D134" s="4">
        <v>99.384500000000003</v>
      </c>
      <c r="E134" s="13">
        <v>0.77338571428571423</v>
      </c>
      <c r="F134" s="4">
        <f t="shared" ref="F134" si="553">D134/E134</f>
        <v>128.5057354489536</v>
      </c>
      <c r="G134" s="4">
        <v>840.25</v>
      </c>
      <c r="H134" s="4">
        <f t="shared" ref="H134" si="554">G134/6.2897</f>
        <v>133.59142725408208</v>
      </c>
      <c r="I134" s="4">
        <v>810.55</v>
      </c>
      <c r="J134" s="4">
        <f t="shared" ref="J134" si="555">I134/6.2897</f>
        <v>128.86942143504459</v>
      </c>
      <c r="K134" s="11">
        <v>844.91</v>
      </c>
      <c r="L134" s="4">
        <f t="shared" ref="L134" si="556">K134/6.2897</f>
        <v>134.3323210963957</v>
      </c>
      <c r="M134" s="4">
        <v>819.86</v>
      </c>
      <c r="N134" s="4">
        <f t="shared" ref="N134" si="557">M134/6.2897</f>
        <v>130.34961921872267</v>
      </c>
      <c r="O134" s="5">
        <f>(103.89*10+98.39*10+95.52*11)/31</f>
        <v>99.145806451612913</v>
      </c>
      <c r="P134" s="5">
        <f t="shared" ref="P134" si="558">O134/E134</f>
        <v>128.1971009035023</v>
      </c>
      <c r="Q134" s="15">
        <v>739.29</v>
      </c>
      <c r="R134" s="4">
        <f t="shared" ref="R134" si="559">Q134/6.2897</f>
        <v>117.539787271253</v>
      </c>
    </row>
    <row r="135" spans="1:18">
      <c r="A135" s="3" t="s">
        <v>152</v>
      </c>
      <c r="B135" s="4">
        <v>125.97652173913048</v>
      </c>
      <c r="C135" s="4">
        <v>91.030387469733299</v>
      </c>
      <c r="D135" s="4">
        <v>91.482608695652189</v>
      </c>
      <c r="E135" s="13">
        <v>0.773917391304348</v>
      </c>
      <c r="F135" s="4">
        <f t="shared" ref="F135" si="560">D135/E135</f>
        <v>118.20720108313998</v>
      </c>
      <c r="G135" s="4">
        <v>770.9</v>
      </c>
      <c r="H135" s="4">
        <f t="shared" ref="H135" si="561">G135/6.2897</f>
        <v>122.56546417158211</v>
      </c>
      <c r="I135" s="4">
        <v>744.24</v>
      </c>
      <c r="J135" s="4">
        <f t="shared" ref="J135" si="562">I135/6.2897</f>
        <v>118.32678824109259</v>
      </c>
      <c r="K135" s="11">
        <v>775.56</v>
      </c>
      <c r="L135" s="4">
        <f t="shared" ref="L135" si="563">K135/6.2897</f>
        <v>123.30635801389573</v>
      </c>
      <c r="M135" s="4">
        <v>753.55</v>
      </c>
      <c r="N135" s="4">
        <f t="shared" ref="N135" si="564">M135/6.2897</f>
        <v>119.80698602477065</v>
      </c>
      <c r="O135" s="5">
        <f>(89.77*10+89.67*10+91.68*11)/31</f>
        <v>90.415483870967748</v>
      </c>
      <c r="P135" s="5">
        <f t="shared" ref="P135" si="565">O135/E135</f>
        <v>116.82833967406125</v>
      </c>
      <c r="Q135" s="15">
        <v>672.98</v>
      </c>
      <c r="R135" s="4">
        <f t="shared" ref="R135" si="566">Q135/6.2897</f>
        <v>106.99715407730099</v>
      </c>
    </row>
    <row r="136" spans="1:18">
      <c r="A136" s="3" t="s">
        <v>153</v>
      </c>
      <c r="B136" s="4">
        <v>120.4090476190476</v>
      </c>
      <c r="C136" s="4">
        <v>85.555703673182506</v>
      </c>
      <c r="D136" s="4">
        <v>83.80190476190478</v>
      </c>
      <c r="E136" s="13">
        <v>0.75015454545454541</v>
      </c>
      <c r="F136" s="4">
        <f t="shared" ref="F136" si="567">D136/E136</f>
        <v>111.71285339759717</v>
      </c>
      <c r="G136" s="4">
        <v>737.93</v>
      </c>
      <c r="H136" s="4">
        <f t="shared" ref="H136" si="568">G136/6.2897</f>
        <v>117.32356074216575</v>
      </c>
      <c r="I136" s="4">
        <v>706.29</v>
      </c>
      <c r="J136" s="4">
        <f t="shared" ref="J136" si="569">I136/6.2897</f>
        <v>112.29311413898914</v>
      </c>
      <c r="K136" s="11">
        <v>742.59</v>
      </c>
      <c r="L136" s="4">
        <f t="shared" ref="L136" si="570">K136/6.2897</f>
        <v>118.06445458447939</v>
      </c>
      <c r="M136" s="4">
        <v>705.6</v>
      </c>
      <c r="N136" s="4">
        <f t="shared" ref="N136" si="571">M136/6.2897</f>
        <v>112.18341097349635</v>
      </c>
      <c r="O136" s="5">
        <f>(85*10+85.1*10+79.07*10)/30</f>
        <v>83.056666666666658</v>
      </c>
      <c r="P136" s="5">
        <f t="shared" ref="P136" si="572">O136/E136</f>
        <v>110.71940731404841</v>
      </c>
      <c r="Q136" s="15">
        <v>635.03</v>
      </c>
      <c r="R136" s="4">
        <f t="shared" ref="R136" si="573">Q136/6.2897</f>
        <v>100.96347997519754</v>
      </c>
    </row>
    <row r="137" spans="1:18">
      <c r="A137" s="3" t="s">
        <v>154</v>
      </c>
      <c r="B137" s="4">
        <v>122.03142857142856</v>
      </c>
      <c r="C137" s="4">
        <v>90.886448988107659</v>
      </c>
      <c r="D137" s="4">
        <v>87.030952380952371</v>
      </c>
      <c r="E137" s="13">
        <v>0.73036190476190466</v>
      </c>
      <c r="F137" s="4">
        <f t="shared" ref="F137" si="574">D137/E137</f>
        <v>119.16140726058836</v>
      </c>
      <c r="G137" s="4">
        <v>789.88</v>
      </c>
      <c r="H137" s="4">
        <f t="shared" ref="H137" si="575">G137/6.2897</f>
        <v>125.58309617310842</v>
      </c>
      <c r="I137" s="4">
        <v>751.54</v>
      </c>
      <c r="J137" s="4">
        <f t="shared" ref="J137" si="576">I137/6.2897</f>
        <v>119.48741593398731</v>
      </c>
      <c r="K137" s="11">
        <v>794.54</v>
      </c>
      <c r="L137" s="4">
        <f t="shared" ref="L137" si="577">K137/6.2897</f>
        <v>126.32399001542204</v>
      </c>
      <c r="M137" s="4">
        <v>760.85</v>
      </c>
      <c r="N137" s="4">
        <f t="shared" ref="N137" si="578">M137/6.2897</f>
        <v>120.9676137176654</v>
      </c>
      <c r="O137" s="5">
        <f>(86.44*10+85.24*10+85.57*11)/31</f>
        <v>85.744193548387088</v>
      </c>
      <c r="P137" s="5">
        <f t="shared" ref="P137" si="579">O137/E137</f>
        <v>117.39959736309</v>
      </c>
      <c r="Q137" s="15">
        <v>680.28</v>
      </c>
      <c r="R137" s="4">
        <f t="shared" ref="R137" si="580">Q137/6.2897</f>
        <v>108.15778177019571</v>
      </c>
    </row>
    <row r="138" spans="1:18">
      <c r="A138" s="3" t="s">
        <v>155</v>
      </c>
      <c r="B138" s="4">
        <v>118.72099999999996</v>
      </c>
      <c r="C138" s="4">
        <v>77.176010748747998</v>
      </c>
      <c r="D138" s="4">
        <v>84.385714285714286</v>
      </c>
      <c r="E138" s="13">
        <v>0.74427272727272742</v>
      </c>
      <c r="F138" s="4">
        <f t="shared" ref="F138" si="581">D138/E138</f>
        <v>113.3800973669057</v>
      </c>
      <c r="G138" s="4">
        <v>744.99</v>
      </c>
      <c r="H138" s="4">
        <f t="shared" ref="H138" si="582">G138/6.2897</f>
        <v>118.4460308122804</v>
      </c>
      <c r="I138" s="4">
        <v>712.32</v>
      </c>
      <c r="J138" s="4">
        <f t="shared" ref="J138" si="583">I138/6.2897</f>
        <v>113.25182441133919</v>
      </c>
      <c r="K138" s="11">
        <v>749.65</v>
      </c>
      <c r="L138" s="4">
        <f t="shared" ref="L138" si="584">K138/6.2897</f>
        <v>119.18692465459402</v>
      </c>
      <c r="M138" s="4">
        <v>721.63</v>
      </c>
      <c r="N138" s="4">
        <f t="shared" ref="N138" si="585">M138/6.2897</f>
        <v>114.73202219501725</v>
      </c>
      <c r="O138" s="5">
        <f>(88.74*10+83.71*10+77.14*10)/30</f>
        <v>83.196666666666673</v>
      </c>
      <c r="P138" s="5">
        <f t="shared" ref="P138" si="586">O138/E138</f>
        <v>111.78250071251169</v>
      </c>
      <c r="Q138" s="15">
        <v>641.05999999999995</v>
      </c>
      <c r="R138" s="4">
        <f t="shared" ref="R138" si="587">Q138/6.2897</f>
        <v>101.92219024754758</v>
      </c>
    </row>
    <row r="139" spans="1:18">
      <c r="A139" s="3" t="s">
        <v>156</v>
      </c>
      <c r="B139" s="4">
        <v>105.98095238095236</v>
      </c>
      <c r="C139" s="4">
        <v>64.092978998164881</v>
      </c>
      <c r="D139" s="4">
        <v>76.518095238095228</v>
      </c>
      <c r="E139" s="13">
        <v>0.73565000000000003</v>
      </c>
      <c r="F139" s="4">
        <f t="shared" ref="F139" si="588">D139/E139</f>
        <v>104.01426661876603</v>
      </c>
      <c r="G139" s="4">
        <v>692.74</v>
      </c>
      <c r="H139" s="4">
        <f t="shared" ref="H139" si="589">G139/6.2897</f>
        <v>110.13879835286262</v>
      </c>
      <c r="I139" s="4">
        <v>636.28</v>
      </c>
      <c r="J139" s="4">
        <f t="shared" ref="J139" si="590">I139/6.2897</f>
        <v>101.16221759384391</v>
      </c>
      <c r="K139" s="11">
        <v>697.4</v>
      </c>
      <c r="L139" s="4">
        <f t="shared" ref="L139" si="591">K139/6.2897</f>
        <v>110.87969219517623</v>
      </c>
      <c r="M139" s="4">
        <v>645.59</v>
      </c>
      <c r="N139" s="4">
        <f t="shared" ref="N139" si="592">M139/6.2897</f>
        <v>102.64241537752198</v>
      </c>
      <c r="O139" s="5">
        <f>(74.79*10+73.71*10+78.22*11)/31</f>
        <v>75.658709677419353</v>
      </c>
      <c r="P139" s="5">
        <f t="shared" ref="P139" si="593">O139/E139</f>
        <v>102.84606766454068</v>
      </c>
      <c r="Q139" s="15">
        <v>565.02</v>
      </c>
      <c r="R139" s="4">
        <f t="shared" ref="R139" si="594">Q139/6.2897</f>
        <v>89.83258343005231</v>
      </c>
    </row>
    <row r="140" spans="1:18">
      <c r="A140" s="3" t="s">
        <v>157</v>
      </c>
      <c r="B140" s="4">
        <v>107.5605</v>
      </c>
      <c r="C140" s="4">
        <v>67.146767383398853</v>
      </c>
      <c r="D140" s="4">
        <v>78.164000000000016</v>
      </c>
      <c r="E140" s="13">
        <v>0.74496363636363627</v>
      </c>
      <c r="F140" s="4">
        <f t="shared" ref="F140" si="595">D140/E140</f>
        <v>104.92324213506458</v>
      </c>
      <c r="G140" s="4">
        <v>683.63</v>
      </c>
      <c r="H140" s="4">
        <f t="shared" ref="H140" si="596">G140/6.2897</f>
        <v>108.69039858816797</v>
      </c>
      <c r="I140" s="4">
        <v>637.51</v>
      </c>
      <c r="J140" s="4">
        <f t="shared" ref="J140" si="597">I140/6.2897</f>
        <v>101.35777541059193</v>
      </c>
      <c r="K140" s="11">
        <v>688.29</v>
      </c>
      <c r="L140" s="4">
        <f t="shared" ref="L140" si="598">K140/6.2897</f>
        <v>109.43129243048158</v>
      </c>
      <c r="M140" s="4">
        <v>646.82000000000005</v>
      </c>
      <c r="N140" s="4">
        <f t="shared" ref="N140" si="599">M140/6.2897</f>
        <v>102.83797319427001</v>
      </c>
      <c r="O140" s="5">
        <f>(74.5*10+78.65*10+79.12*11)/31</f>
        <v>77.478064516129038</v>
      </c>
      <c r="P140" s="5">
        <f t="shared" ref="P140" si="600">O140/E140</f>
        <v>104.0024784220608</v>
      </c>
      <c r="Q140" s="15">
        <v>566.25</v>
      </c>
      <c r="R140" s="4">
        <f t="shared" ref="R140" si="601">Q140/6.2897</f>
        <v>90.028141246800331</v>
      </c>
    </row>
    <row r="141" spans="1:18">
      <c r="A141" s="3" t="s">
        <v>158</v>
      </c>
      <c r="B141" s="4">
        <v>109.01947368421054</v>
      </c>
      <c r="C141" s="4">
        <v>68.247110041411574</v>
      </c>
      <c r="D141" s="4">
        <v>76.8605263157895</v>
      </c>
      <c r="E141" s="13">
        <v>0.74349999999999994</v>
      </c>
      <c r="F141" s="4">
        <f t="shared" ref="F141" si="602">D141/E141</f>
        <v>103.37663256999261</v>
      </c>
      <c r="G141" s="4">
        <v>667.67</v>
      </c>
      <c r="H141" s="4">
        <f t="shared" ref="H141" si="603">G141/6.2897</f>
        <v>106.15291667329124</v>
      </c>
      <c r="I141" s="4">
        <v>619.86</v>
      </c>
      <c r="J141" s="4">
        <f t="shared" ref="J141" si="604">I141/6.2897</f>
        <v>98.551600235305344</v>
      </c>
      <c r="K141" s="11">
        <v>672.33</v>
      </c>
      <c r="L141" s="4">
        <f t="shared" ref="L141" si="605">K141/6.2897</f>
        <v>106.89381051560488</v>
      </c>
      <c r="M141" s="4">
        <v>629.16999999999996</v>
      </c>
      <c r="N141" s="4">
        <f t="shared" ref="N141" si="606">M141/6.2897</f>
        <v>100.03179801898341</v>
      </c>
      <c r="O141" s="5">
        <f>(75*10+77.11*10+74.9*8)/28</f>
        <v>75.725000000000009</v>
      </c>
      <c r="P141" s="5">
        <f t="shared" ref="P141" si="607">O141/E141</f>
        <v>101.84936112979155</v>
      </c>
      <c r="Q141" s="15">
        <v>548.6</v>
      </c>
      <c r="R141" s="4">
        <f t="shared" ref="R141" si="608">Q141/6.2897</f>
        <v>87.221966071513748</v>
      </c>
    </row>
    <row r="142" spans="1:18">
      <c r="A142" s="3" t="s">
        <v>159</v>
      </c>
      <c r="B142" s="4">
        <v>105.57434782608696</v>
      </c>
      <c r="C142" s="4">
        <v>71.954209371077795</v>
      </c>
      <c r="D142" s="4">
        <v>73.372608695652175</v>
      </c>
      <c r="E142" s="13">
        <v>0.73092608695652173</v>
      </c>
      <c r="F142" s="4">
        <f t="shared" ref="F142" si="609">D142/E142</f>
        <v>100.38307566934147</v>
      </c>
      <c r="G142" s="4">
        <v>666.69</v>
      </c>
      <c r="H142" s="4">
        <f t="shared" ref="H142" si="610">G142/6.2897</f>
        <v>105.99710638027253</v>
      </c>
      <c r="I142" s="4">
        <v>616.54999999999995</v>
      </c>
      <c r="J142" s="4">
        <f t="shared" ref="J142" si="611">I142/6.2897</f>
        <v>98.025343021129785</v>
      </c>
      <c r="K142" s="11">
        <v>671.35</v>
      </c>
      <c r="L142" s="4">
        <f t="shared" ref="L142" si="612">K142/6.2897</f>
        <v>106.73800022258614</v>
      </c>
      <c r="M142" s="4">
        <v>625.86</v>
      </c>
      <c r="N142" s="4">
        <f t="shared" ref="N142" si="613">M142/6.2897</f>
        <v>99.505540804807865</v>
      </c>
      <c r="O142" s="5">
        <f>(77.2*10+69.33*10+70.54*11)/31</f>
        <v>72.298064516129031</v>
      </c>
      <c r="P142" s="5">
        <f t="shared" ref="P142" si="614">O142/E142</f>
        <v>98.912962345027907</v>
      </c>
      <c r="Q142" s="15">
        <v>545.29</v>
      </c>
      <c r="R142" s="4">
        <f t="shared" ref="R142" si="615">Q142/6.2897</f>
        <v>86.69570885733819</v>
      </c>
    </row>
    <row r="143" spans="1:18">
      <c r="A143" s="3" t="s">
        <v>160</v>
      </c>
      <c r="B143" s="4">
        <v>111.39368421052632</v>
      </c>
      <c r="C143" s="4">
        <v>85.483836606462631</v>
      </c>
      <c r="D143" s="4">
        <v>79.501499999999993</v>
      </c>
      <c r="E143" s="13">
        <v>0.74164500000000011</v>
      </c>
      <c r="F143" s="4">
        <f>D143/E143</f>
        <v>107.19616528123291</v>
      </c>
      <c r="G143" s="4">
        <v>712.09</v>
      </c>
      <c r="H143" s="4">
        <f t="shared" ref="H143" si="616">G143/6.2897</f>
        <v>113.21525668950825</v>
      </c>
      <c r="I143" s="4">
        <v>670.76</v>
      </c>
      <c r="J143" s="4">
        <f t="shared" ref="J143" si="617">I143/6.2897</f>
        <v>106.64419606658505</v>
      </c>
      <c r="K143" s="11">
        <v>716.75</v>
      </c>
      <c r="L143" s="4">
        <f t="shared" ref="L143" si="618">K143/6.2897</f>
        <v>113.95615053182188</v>
      </c>
      <c r="M143" s="4">
        <v>680.07</v>
      </c>
      <c r="N143" s="4">
        <f t="shared" ref="N143" si="619">M143/6.2897</f>
        <v>108.12439385026313</v>
      </c>
      <c r="O143" s="5">
        <f>(78.56*10+80.27*10+75.88*10)/30</f>
        <v>78.236666666666665</v>
      </c>
      <c r="P143" s="5">
        <f t="shared" ref="P143" si="620">O143/E143</f>
        <v>105.49072220087326</v>
      </c>
      <c r="Q143" s="15">
        <v>599.5</v>
      </c>
      <c r="R143" s="4">
        <f t="shared" ref="R143" si="621">Q143/6.2897</f>
        <v>95.314561902793457</v>
      </c>
    </row>
    <row r="144" spans="1:18">
      <c r="A144" s="3" t="s">
        <v>161</v>
      </c>
      <c r="B144" s="4">
        <v>100.48636363636365</v>
      </c>
      <c r="C144" s="4">
        <v>76.728543249030835</v>
      </c>
      <c r="D144" s="4">
        <v>71.620909090909095</v>
      </c>
      <c r="E144" s="13">
        <v>0.73979130434782592</v>
      </c>
      <c r="F144" s="4">
        <f>D144/E144</f>
        <v>96.812315405690768</v>
      </c>
      <c r="G144" s="4">
        <v>621.54</v>
      </c>
      <c r="H144" s="4">
        <f t="shared" ref="H144" si="622">G144/6.2897</f>
        <v>98.818703594766049</v>
      </c>
      <c r="I144" s="4">
        <v>607.21</v>
      </c>
      <c r="J144" s="4">
        <f t="shared" ref="J144" si="623">I144/6.2897</f>
        <v>96.540375534604209</v>
      </c>
      <c r="K144" s="11">
        <v>626.20000000000005</v>
      </c>
      <c r="L144" s="4">
        <f t="shared" ref="L144" si="624">K144/6.2897</f>
        <v>99.559597437079674</v>
      </c>
      <c r="M144" s="4">
        <v>616.52</v>
      </c>
      <c r="N144" s="4">
        <f t="shared" ref="N144" si="625">M144/6.2897</f>
        <v>98.020573318282274</v>
      </c>
      <c r="O144" s="5">
        <f>(70.79*10+70.08*10+70.9*11)/31</f>
        <v>70.600000000000009</v>
      </c>
      <c r="P144" s="5">
        <f t="shared" ref="P144" si="626">O144/E144</f>
        <v>95.432319338003694</v>
      </c>
      <c r="Q144" s="15">
        <v>535.95000000000005</v>
      </c>
      <c r="R144" s="4">
        <f t="shared" ref="R144" si="627">Q144/6.2897</f>
        <v>85.210741370812613</v>
      </c>
    </row>
    <row r="145" spans="1:18">
      <c r="A145" s="3" t="s">
        <v>162</v>
      </c>
      <c r="B145" s="4">
        <v>97.439523809523806</v>
      </c>
      <c r="C145" s="4">
        <v>74.650509664959003</v>
      </c>
      <c r="D145" s="4">
        <v>70.27428571428571</v>
      </c>
      <c r="E145" s="13">
        <v>0.75278636363636364</v>
      </c>
      <c r="F145" s="4">
        <f>D145/E145</f>
        <v>93.352229940541235</v>
      </c>
      <c r="G145" s="4">
        <v>607.65</v>
      </c>
      <c r="H145" s="4">
        <f t="shared" ref="H145" si="628">G145/6.2897</f>
        <v>96.610331176367708</v>
      </c>
      <c r="I145" s="4">
        <v>585.96</v>
      </c>
      <c r="J145" s="4">
        <f t="shared" ref="J145" si="629">I145/6.2897</f>
        <v>93.16183601761611</v>
      </c>
      <c r="K145" s="11">
        <v>612.30999999999995</v>
      </c>
      <c r="L145" s="4">
        <f t="shared" ref="L145" si="630">K145/6.2897</f>
        <v>97.351225018681333</v>
      </c>
      <c r="M145" s="4">
        <v>605.27</v>
      </c>
      <c r="N145" s="4">
        <f t="shared" ref="N145" si="631">M145/6.2897</f>
        <v>96.231934750465044</v>
      </c>
      <c r="O145" s="5">
        <f>(70.34*10+69.32*10+68.67*10)/30</f>
        <v>69.443333333333342</v>
      </c>
      <c r="P145" s="5">
        <f t="shared" ref="P145" si="632">O145/E145</f>
        <v>92.248394349074857</v>
      </c>
      <c r="Q145" s="15">
        <v>524.70000000000005</v>
      </c>
      <c r="R145" s="4">
        <f t="shared" ref="R145" si="633">Q145/6.2897</f>
        <v>83.422102802995383</v>
      </c>
    </row>
    <row r="146" spans="1:18">
      <c r="A146" s="3" t="s">
        <v>163</v>
      </c>
      <c r="B146" s="4">
        <v>105.79526315789474</v>
      </c>
      <c r="C146" s="4">
        <v>84.719639755305479</v>
      </c>
      <c r="D146" s="4">
        <v>76.034499999999994</v>
      </c>
      <c r="E146" s="13">
        <v>0.75662857142857143</v>
      </c>
      <c r="F146" s="4">
        <f t="shared" ref="F146" si="634">D146/E146</f>
        <v>100.49118269012914</v>
      </c>
      <c r="G146" s="4">
        <v>641.44000000000005</v>
      </c>
      <c r="H146" s="4">
        <f t="shared" ref="H146" si="635">G146/6.2897</f>
        <v>101.98260648361608</v>
      </c>
      <c r="I146" s="4">
        <v>631.36</v>
      </c>
      <c r="J146" s="4">
        <f t="shared" ref="J146" si="636">I146/6.2897</f>
        <v>100.37998632685184</v>
      </c>
      <c r="K146" s="11">
        <v>646.1</v>
      </c>
      <c r="L146" s="4">
        <f t="shared" ref="L146" si="637">K146/6.2897</f>
        <v>102.72350032592971</v>
      </c>
      <c r="M146" s="4">
        <v>640.66999999999996</v>
      </c>
      <c r="N146" s="4">
        <f t="shared" ref="N146" si="638">M146/6.2897</f>
        <v>101.86018411052991</v>
      </c>
      <c r="O146" s="5">
        <f>(70.9*10+74.46*10+78.27*11)/31</f>
        <v>74.663548387096768</v>
      </c>
      <c r="P146" s="5">
        <f t="shared" ref="P146" si="639">O146/E146</f>
        <v>98.679261141469183</v>
      </c>
      <c r="Q146" s="15">
        <v>560.1</v>
      </c>
      <c r="R146" s="4">
        <f t="shared" ref="R146" si="640">Q146/6.2897</f>
        <v>89.050352163060253</v>
      </c>
    </row>
    <row r="147" spans="1:18">
      <c r="A147" s="3" t="s">
        <v>164</v>
      </c>
      <c r="B147" s="4">
        <v>113.40260869565216</v>
      </c>
      <c r="C147" s="4">
        <v>94.748183182127192</v>
      </c>
      <c r="D147" s="4">
        <v>81.320869565217393</v>
      </c>
      <c r="E147" s="13">
        <v>0.74186086956521746</v>
      </c>
      <c r="F147" s="4">
        <f t="shared" ref="F147" si="641">D147/E147</f>
        <v>109.61741332020534</v>
      </c>
      <c r="G147" s="4">
        <v>713.01</v>
      </c>
      <c r="H147" s="4">
        <f t="shared" ref="H147" si="642">G147/6.2897</f>
        <v>113.36152757683196</v>
      </c>
      <c r="I147" s="4">
        <v>698.9</v>
      </c>
      <c r="J147" s="4">
        <f t="shared" ref="J147" si="643">I147/6.2897</f>
        <v>111.11817733755187</v>
      </c>
      <c r="K147" s="11">
        <v>717.67</v>
      </c>
      <c r="L147" s="4">
        <f t="shared" ref="L147" si="644">K147/6.2897</f>
        <v>114.10242141914559</v>
      </c>
      <c r="M147" s="4">
        <v>708.21</v>
      </c>
      <c r="N147" s="4">
        <f t="shared" ref="N147" si="645">M147/6.2897</f>
        <v>112.59837512122995</v>
      </c>
      <c r="O147" s="5">
        <f>(81.3*10+80.66*10+79.46*11)/31</f>
        <v>80.44064516129032</v>
      </c>
      <c r="P147" s="5">
        <f t="shared" ref="P147" si="646">O147/E147</f>
        <v>108.43090458246461</v>
      </c>
      <c r="Q147" s="15">
        <v>627.64</v>
      </c>
      <c r="R147" s="4">
        <f t="shared" ref="R147" si="647">Q147/6.2897</f>
        <v>99.788543173760274</v>
      </c>
    </row>
    <row r="148" spans="1:18">
      <c r="A148" s="3" t="s">
        <v>165</v>
      </c>
      <c r="B148" s="4">
        <v>131.94755000000001</v>
      </c>
      <c r="C148" s="4">
        <v>100.10504220647316</v>
      </c>
      <c r="D148" s="4">
        <v>89.430500000000009</v>
      </c>
      <c r="E148" s="13">
        <v>0.73843333333333339</v>
      </c>
      <c r="F148" s="4">
        <f t="shared" ref="F148" si="648">D148/E148</f>
        <v>121.10842775244888</v>
      </c>
      <c r="G148" s="4">
        <v>771.57</v>
      </c>
      <c r="H148" s="4">
        <f t="shared" ref="H148" si="649">G148/6.2897</f>
        <v>122.67198753517657</v>
      </c>
      <c r="I148" s="4">
        <v>763.12</v>
      </c>
      <c r="J148" s="4">
        <f t="shared" ref="J148" si="650">I148/6.2897</f>
        <v>121.32852123312718</v>
      </c>
      <c r="K148" s="11">
        <v>776.23</v>
      </c>
      <c r="L148" s="4">
        <f t="shared" ref="L148" si="651">K148/6.2897</f>
        <v>123.41288137749019</v>
      </c>
      <c r="M148" s="4">
        <v>772.43</v>
      </c>
      <c r="N148" s="4">
        <f t="shared" ref="N148" si="652">M148/6.2897</f>
        <v>122.80871901680524</v>
      </c>
      <c r="O148" s="5">
        <f>(85.58*10+89.01*10+89.68*10)/30</f>
        <v>88.09</v>
      </c>
      <c r="P148" s="5">
        <f t="shared" ref="P148" si="653">O148/E148</f>
        <v>119.29309800027085</v>
      </c>
      <c r="Q148" s="15">
        <v>691.86</v>
      </c>
      <c r="R148" s="4">
        <f t="shared" ref="R148" si="654">Q148/6.2897</f>
        <v>109.99888706933558</v>
      </c>
    </row>
    <row r="149" spans="1:18">
      <c r="A149" s="3" t="s">
        <v>166</v>
      </c>
      <c r="B149" s="4">
        <v>123.60854545454545</v>
      </c>
      <c r="C149" s="4">
        <v>92.234206048972581</v>
      </c>
      <c r="D149" s="4">
        <v>85.466818181818169</v>
      </c>
      <c r="E149" s="13">
        <v>0.72935000000000016</v>
      </c>
      <c r="F149" s="4">
        <f t="shared" ref="F149" si="655">D149/E149</f>
        <v>117.18217341717714</v>
      </c>
      <c r="G149" s="4">
        <v>742.38</v>
      </c>
      <c r="H149" s="4">
        <f t="shared" ref="H149" si="656">G149/6.2897</f>
        <v>118.0310666645468</v>
      </c>
      <c r="I149" s="4">
        <v>727.42</v>
      </c>
      <c r="J149" s="4">
        <f t="shared" ref="J149" si="657">I149/6.2897</f>
        <v>115.65257484458718</v>
      </c>
      <c r="K149" s="11">
        <v>747.04</v>
      </c>
      <c r="L149" s="4">
        <f t="shared" ref="L149" si="658">K149/6.2897</f>
        <v>118.77196050686042</v>
      </c>
      <c r="M149" s="4">
        <v>736.73</v>
      </c>
      <c r="N149" s="4">
        <f t="shared" ref="N149" si="659">M149/6.2897</f>
        <v>117.13277262826527</v>
      </c>
      <c r="O149" s="5">
        <f>(84.61*10+85.92*10+84.03*11)/31</f>
        <v>84.826774193548388</v>
      </c>
      <c r="P149" s="5">
        <f t="shared" ref="P149" si="660">O149/E149</f>
        <v>116.30461944683398</v>
      </c>
      <c r="Q149" s="15">
        <v>656.16</v>
      </c>
      <c r="R149" s="4">
        <f t="shared" ref="R149" si="661">Q149/6.2897</f>
        <v>104.32294068079558</v>
      </c>
    </row>
    <row r="150" spans="1:18">
      <c r="A150" s="3" t="s">
        <v>167</v>
      </c>
      <c r="B150" s="4">
        <v>114.13719999999998</v>
      </c>
      <c r="C150" s="4">
        <v>77.31761588193632</v>
      </c>
      <c r="D150" s="4">
        <v>77.376666666666651</v>
      </c>
      <c r="E150" s="13">
        <v>0.72955000000000014</v>
      </c>
      <c r="F150" s="4">
        <f t="shared" ref="F150" si="662">D150/E150</f>
        <v>106.06081374363188</v>
      </c>
      <c r="G150" s="4">
        <v>664.12</v>
      </c>
      <c r="H150" s="4">
        <f t="shared" ref="H150" si="663">G150/6.2897</f>
        <v>105.5885018363356</v>
      </c>
      <c r="I150" s="4">
        <v>653.84</v>
      </c>
      <c r="J150" s="4">
        <f t="shared" ref="J150" si="664">I150/6.2897</f>
        <v>103.95408366058795</v>
      </c>
      <c r="K150" s="11">
        <v>668.78</v>
      </c>
      <c r="L150" s="4">
        <f t="shared" ref="L150" si="665">K150/6.2897</f>
        <v>106.32939567864922</v>
      </c>
      <c r="M150" s="4">
        <v>663.15</v>
      </c>
      <c r="N150" s="4">
        <f t="shared" ref="N150" si="666">M150/6.2897</f>
        <v>105.43428144426602</v>
      </c>
      <c r="O150" s="5">
        <f>(78.09*10+75.57*10+75.37*10)/30</f>
        <v>76.343333333333334</v>
      </c>
      <c r="P150" s="5">
        <f t="shared" ref="P150" si="667">O150/E150</f>
        <v>104.64441550727615</v>
      </c>
      <c r="Q150" s="15">
        <v>582.58000000000004</v>
      </c>
      <c r="R150" s="4">
        <f t="shared" ref="R150" si="668">Q150/6.2897</f>
        <v>92.624449496796359</v>
      </c>
    </row>
    <row r="151" spans="1:18">
      <c r="A151" s="3" t="s">
        <v>168</v>
      </c>
      <c r="B151" s="4">
        <v>86.272842105263138</v>
      </c>
      <c r="C151" s="4">
        <v>61.037875739985061</v>
      </c>
      <c r="D151" s="4">
        <v>72.123500000000007</v>
      </c>
      <c r="E151" s="13">
        <v>0.74567142857142854</v>
      </c>
      <c r="F151" s="4">
        <f t="shared" ref="F151" si="669">D151/E151</f>
        <v>96.722895951874648</v>
      </c>
      <c r="G151" s="4">
        <v>565.49</v>
      </c>
      <c r="H151" s="4">
        <f t="shared" ref="H151" si="670">G151/6.2897</f>
        <v>89.907308774663349</v>
      </c>
      <c r="I151" s="4">
        <v>531.44000000000005</v>
      </c>
      <c r="J151" s="4">
        <f t="shared" ref="J151" si="671">I151/6.2897</f>
        <v>84.493696042736545</v>
      </c>
      <c r="K151" s="11">
        <v>570.15</v>
      </c>
      <c r="L151" s="4">
        <f t="shared" ref="L151" si="672">K151/6.2897</f>
        <v>90.64820261697696</v>
      </c>
      <c r="M151" s="4">
        <v>540.75</v>
      </c>
      <c r="N151" s="4">
        <f t="shared" ref="N151" si="673">M151/6.2897</f>
        <v>85.97389382641461</v>
      </c>
      <c r="O151" s="5">
        <f>(71*10+70.54*10+72.14*11)/31</f>
        <v>71.256129032258073</v>
      </c>
      <c r="P151" s="5">
        <f t="shared" ref="P151" si="674">O151/E151</f>
        <v>95.5596879563589</v>
      </c>
      <c r="Q151" s="15">
        <v>460.18</v>
      </c>
      <c r="R151" s="4">
        <f t="shared" ref="R151" si="675">Q151/6.2897</f>
        <v>73.164061878944949</v>
      </c>
    </row>
    <row r="152" spans="1:18">
      <c r="A152" s="3" t="s">
        <v>169</v>
      </c>
      <c r="B152" s="4">
        <v>88.851238095238088</v>
      </c>
      <c r="C152" s="4">
        <v>72.330261969888454</v>
      </c>
      <c r="D152" s="4">
        <v>73.860952380952369</v>
      </c>
      <c r="E152" s="13">
        <v>0.74548260869565219</v>
      </c>
      <c r="F152" s="4">
        <f t="shared" ref="F152" si="676">D152/E152</f>
        <v>99.078035516059302</v>
      </c>
      <c r="G152" s="4">
        <v>581.97</v>
      </c>
      <c r="H152" s="4">
        <f t="shared" ref="H152" si="677">G152/6.2897</f>
        <v>92.527465538896934</v>
      </c>
      <c r="I152" s="4">
        <v>558.45000000000005</v>
      </c>
      <c r="J152" s="4">
        <f t="shared" ref="J152" si="678">I152/6.2897</f>
        <v>88.78801850644706</v>
      </c>
      <c r="K152" s="11">
        <v>586.63</v>
      </c>
      <c r="L152" s="4">
        <f t="shared" ref="L152" si="679">K152/6.2897</f>
        <v>93.268359381210558</v>
      </c>
      <c r="M152" s="4">
        <v>567.76</v>
      </c>
      <c r="N152" s="4">
        <f t="shared" ref="N152" si="680">M152/6.2897</f>
        <v>90.268216290125125</v>
      </c>
      <c r="O152" s="5">
        <f>(71.27*10+71.86*10+75.35*11)/31</f>
        <v>72.908064516129016</v>
      </c>
      <c r="P152" s="5">
        <f t="shared" ref="P152" si="681">O152/E152</f>
        <v>97.799819426631558</v>
      </c>
      <c r="Q152" s="15">
        <v>487.19</v>
      </c>
      <c r="R152" s="4">
        <f t="shared" ref="R152" si="682">Q152/6.2897</f>
        <v>77.458384342655449</v>
      </c>
    </row>
    <row r="153" spans="1:18">
      <c r="A153" s="3" t="s">
        <v>170</v>
      </c>
      <c r="B153" s="4">
        <v>97.825100000000006</v>
      </c>
      <c r="C153" s="4">
        <v>78.149944079497104</v>
      </c>
      <c r="D153" s="4">
        <v>76.61</v>
      </c>
      <c r="E153" s="13">
        <v>0.74084761904761898</v>
      </c>
      <c r="F153" s="4">
        <f t="shared" ref="F153" si="683">D153/E153</f>
        <v>103.40857961922637</v>
      </c>
      <c r="G153" s="4">
        <v>601.82000000000005</v>
      </c>
      <c r="H153" s="4">
        <f t="shared" ref="H153" si="684">G153/6.2897</f>
        <v>95.683418923001113</v>
      </c>
      <c r="I153" s="4">
        <v>587.17999999999995</v>
      </c>
      <c r="J153" s="4">
        <f t="shared" ref="J153" si="685">I153/6.2897</f>
        <v>93.355803933414947</v>
      </c>
      <c r="K153" s="11">
        <v>606.48</v>
      </c>
      <c r="L153" s="4">
        <f t="shared" ref="L153" si="686">K153/6.2897</f>
        <v>96.424312765314724</v>
      </c>
      <c r="M153" s="4">
        <v>596.49</v>
      </c>
      <c r="N153" s="4">
        <f t="shared" ref="N153" si="687">M153/6.2897</f>
        <v>94.836001717093026</v>
      </c>
      <c r="O153" s="5">
        <f>(73.05*10+77.12*10+76.69*9)/29</f>
        <v>75.583103448275864</v>
      </c>
      <c r="P153" s="5">
        <f t="shared" ref="P153" si="688">O153/E153</f>
        <v>102.02246927032057</v>
      </c>
      <c r="Q153" s="15">
        <v>515.91999999999996</v>
      </c>
      <c r="R153" s="4">
        <f t="shared" ref="R153" si="689">Q153/6.2897</f>
        <v>82.026169769623351</v>
      </c>
    </row>
    <row r="154" spans="1:18">
      <c r="A154" s="3" t="s">
        <v>171</v>
      </c>
      <c r="B154" s="4">
        <v>110.86074999999998</v>
      </c>
      <c r="C154" s="4">
        <v>82.952883090766136</v>
      </c>
      <c r="D154" s="4">
        <v>80.405000000000015</v>
      </c>
      <c r="E154" s="13">
        <v>0.73879047619047622</v>
      </c>
      <c r="F154" s="4">
        <f t="shared" ref="F154" si="690">D154/E154</f>
        <v>108.83329251156977</v>
      </c>
      <c r="G154" s="4">
        <v>654.47</v>
      </c>
      <c r="H154" s="4">
        <f t="shared" ref="H154" si="691">G154/6.2897</f>
        <v>104.05424742038572</v>
      </c>
      <c r="I154" s="4">
        <v>628.04</v>
      </c>
      <c r="J154" s="4">
        <f t="shared" ref="J154" si="692">I154/6.2897</f>
        <v>99.852139211727106</v>
      </c>
      <c r="K154" s="11">
        <v>659.13</v>
      </c>
      <c r="L154" s="4">
        <f t="shared" ref="L154" si="693">K154/6.2897</f>
        <v>104.79514126269933</v>
      </c>
      <c r="M154" s="4">
        <v>637.35</v>
      </c>
      <c r="N154" s="4">
        <f t="shared" ref="N154" si="694">M154/6.2897</f>
        <v>101.33233699540519</v>
      </c>
      <c r="O154" s="5">
        <f>(77.89*10+79.75*10+80.87*11)/31</f>
        <v>79.547419354838723</v>
      </c>
      <c r="P154" s="5">
        <f t="shared" ref="P154" si="695">O154/E154</f>
        <v>107.67250244618702</v>
      </c>
      <c r="Q154" s="15">
        <v>556.78</v>
      </c>
      <c r="R154" s="4">
        <f t="shared" ref="R154" si="696">Q154/6.2897</f>
        <v>88.52250504793551</v>
      </c>
    </row>
    <row r="155" spans="1:18">
      <c r="A155" s="3" t="s">
        <v>172</v>
      </c>
      <c r="B155" s="4">
        <v>118.82822727272729</v>
      </c>
      <c r="C155" s="4">
        <v>93.811122574550311</v>
      </c>
      <c r="D155" s="4">
        <v>84.394090909090906</v>
      </c>
      <c r="E155" s="13">
        <v>0.73135454545454559</v>
      </c>
      <c r="F155" s="4">
        <f t="shared" ref="F155" si="697">D155/E155</f>
        <v>115.39422491267757</v>
      </c>
      <c r="G155" s="4">
        <v>730.21</v>
      </c>
      <c r="H155" s="4">
        <f t="shared" ref="H155" si="698">G155/6.2897</f>
        <v>116.09615720940586</v>
      </c>
      <c r="I155" s="4">
        <v>704.18</v>
      </c>
      <c r="J155" s="4">
        <f t="shared" ref="J155" si="699">I155/6.2897</f>
        <v>111.95764503871408</v>
      </c>
      <c r="K155" s="11">
        <v>734.87</v>
      </c>
      <c r="L155" s="4">
        <f t="shared" ref="L155" si="700">K155/6.2897</f>
        <v>116.83705105171948</v>
      </c>
      <c r="M155" s="4">
        <v>713.49</v>
      </c>
      <c r="N155" s="4">
        <f t="shared" ref="N155" si="701">M155/6.2897</f>
        <v>113.43784282239217</v>
      </c>
      <c r="O155" s="5">
        <f>(84.95*10+83.45*10+82.18*10)/30</f>
        <v>83.526666666666671</v>
      </c>
      <c r="P155" s="5">
        <f t="shared" ref="P155" si="702">O155/E155</f>
        <v>114.20817329405378</v>
      </c>
      <c r="Q155" s="15">
        <v>632.91999999999996</v>
      </c>
      <c r="R155" s="4">
        <f t="shared" ref="R155" si="703">Q155/6.2897</f>
        <v>100.6280108749225</v>
      </c>
    </row>
    <row r="156" spans="1:18">
      <c r="A156" s="3" t="s">
        <v>173</v>
      </c>
      <c r="B156" s="4">
        <v>110.88190909090912</v>
      </c>
      <c r="C156" s="4">
        <v>89.584847098179921</v>
      </c>
      <c r="D156" s="4">
        <v>78.621363636363625</v>
      </c>
      <c r="E156" s="13">
        <v>0.73160434782608685</v>
      </c>
      <c r="F156" s="4">
        <f t="shared" ref="F156" si="704">D156/E156</f>
        <v>107.46431984717111</v>
      </c>
      <c r="G156" s="4">
        <v>684.35</v>
      </c>
      <c r="H156" s="4">
        <f t="shared" ref="H156" si="705">G156/6.2897</f>
        <v>108.80487145650827</v>
      </c>
      <c r="I156" s="4">
        <v>675.38</v>
      </c>
      <c r="J156" s="4">
        <f t="shared" ref="J156" si="706">I156/6.2897</f>
        <v>107.378730305102</v>
      </c>
      <c r="K156" s="11">
        <v>689.01</v>
      </c>
      <c r="L156" s="4">
        <f t="shared" ref="L156" si="707">K156/6.2897</f>
        <v>109.54576529882189</v>
      </c>
      <c r="M156" s="4">
        <v>684.69</v>
      </c>
      <c r="N156" s="4">
        <f t="shared" ref="N156" si="708">M156/6.2897</f>
        <v>108.85892808878008</v>
      </c>
      <c r="O156" s="5">
        <f>(77.57*10+78.15*10+77.05*11)/31</f>
        <v>77.572580645161295</v>
      </c>
      <c r="P156" s="5">
        <f t="shared" ref="P156" si="709">O156/E156</f>
        <v>106.03078135834349</v>
      </c>
      <c r="Q156" s="15">
        <v>604.12</v>
      </c>
      <c r="R156" s="4">
        <f t="shared" ref="R156" si="710">Q156/6.2897</f>
        <v>96.0490961413104</v>
      </c>
    </row>
  </sheetData>
  <mergeCells count="4">
    <mergeCell ref="G6:H6"/>
    <mergeCell ref="I6:J6"/>
    <mergeCell ref="K6:L6"/>
    <mergeCell ref="M6:N6"/>
  </mergeCells>
  <pageMargins left="0.31496062992125984" right="0.31496062992125984" top="0.74803149606299213" bottom="0.35433070866141736" header="0.31496062992125984" footer="0.31496062992125984"/>
  <pageSetup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5" zoomScaleNormal="100" workbookViewId="0">
      <selection activeCell="M20" sqref="M2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Graph</vt:lpstr>
      <vt:lpstr>Sheet1!Print_Area</vt:lpstr>
      <vt:lpstr>Sheet1!Print_Titles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lorraine fillmore</cp:lastModifiedBy>
  <cp:lastPrinted>2020-01-17T13:42:56Z</cp:lastPrinted>
  <dcterms:created xsi:type="dcterms:W3CDTF">2014-03-04T19:05:12Z</dcterms:created>
  <dcterms:modified xsi:type="dcterms:W3CDTF">2024-07-04T11:50:09Z</dcterms:modified>
</cp:coreProperties>
</file>